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040" windowHeight="9060" activeTab="1"/>
  </bookViews>
  <sheets>
    <sheet name="Приложение 1  " sheetId="4" r:id="rId1"/>
    <sheet name="Приложение 2" sheetId="1" r:id="rId2"/>
  </sheets>
  <definedNames>
    <definedName name="_xlnm._FilterDatabase" localSheetId="0" hidden="1">'Приложение 1  '!$A$14:$G$184</definedName>
    <definedName name="_xlnm._FilterDatabase" localSheetId="1" hidden="1">'Приложение 2'!$A$14:$F$111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01"/>
  <c r="F111"/>
  <c r="F19" l="1"/>
  <c r="G17" i="4"/>
  <c r="F61" i="1" l="1"/>
  <c r="F29"/>
  <c r="F98"/>
  <c r="F95"/>
  <c r="F93"/>
  <c r="F83"/>
  <c r="F74"/>
  <c r="F71"/>
  <c r="F70"/>
  <c r="F33"/>
  <c r="G188" i="4"/>
  <c r="G87"/>
  <c r="G84"/>
  <c r="G105"/>
  <c r="G135"/>
  <c r="E195"/>
  <c r="G195"/>
  <c r="G192"/>
  <c r="G193"/>
  <c r="G119"/>
  <c r="G139"/>
  <c r="G163"/>
  <c r="G162"/>
  <c r="G157"/>
  <c r="G154"/>
  <c r="G151"/>
  <c r="G148"/>
  <c r="G145"/>
  <c r="G143"/>
  <c r="G54"/>
  <c r="G22"/>
  <c r="G23"/>
  <c r="G112" l="1"/>
  <c r="G108"/>
  <c r="G75"/>
  <c r="G71"/>
  <c r="G68"/>
  <c r="G60"/>
  <c r="G39"/>
  <c r="G35"/>
  <c r="G31"/>
  <c r="G15"/>
  <c r="G78" l="1"/>
  <c r="F59" i="1" l="1"/>
  <c r="F56" l="1"/>
  <c r="F68"/>
  <c r="E38" i="4" l="1"/>
  <c r="G92"/>
  <c r="G76"/>
  <c r="G103"/>
  <c r="G109"/>
  <c r="G144"/>
  <c r="G185"/>
  <c r="G172"/>
  <c r="G168"/>
  <c r="G48"/>
  <c r="E51"/>
  <c r="G64"/>
  <c r="G110" l="1"/>
  <c r="G96"/>
  <c r="G45"/>
  <c r="E103"/>
  <c r="F22" i="1" l="1"/>
  <c r="F25"/>
  <c r="F44"/>
  <c r="F15"/>
  <c r="F40"/>
  <c r="E159" i="4" l="1"/>
  <c r="F31" i="1" l="1"/>
  <c r="F42"/>
  <c r="F47"/>
  <c r="F58"/>
  <c r="F82"/>
  <c r="F69"/>
  <c r="F57"/>
  <c r="F55"/>
  <c r="G98" i="4"/>
  <c r="G52"/>
  <c r="G34"/>
  <c r="G177"/>
  <c r="G133"/>
  <c r="G128"/>
  <c r="G126"/>
  <c r="F190"/>
  <c r="E187"/>
  <c r="E188"/>
  <c r="E189"/>
  <c r="F196"/>
  <c r="F102" i="1" l="1"/>
  <c r="G196" i="4"/>
  <c r="E108" l="1"/>
  <c r="G95"/>
  <c r="G190" l="1"/>
  <c r="E92" l="1"/>
  <c r="E144"/>
  <c r="E168" l="1"/>
  <c r="E87" l="1"/>
  <c r="E105"/>
  <c r="E84"/>
  <c r="E37"/>
  <c r="E76" l="1"/>
  <c r="E35" l="1"/>
  <c r="E162" l="1"/>
  <c r="E128"/>
  <c r="G93"/>
  <c r="E93" s="1"/>
  <c r="E96"/>
  <c r="E86"/>
  <c r="E110"/>
  <c r="E85"/>
  <c r="E48"/>
  <c r="C93"/>
  <c r="E112"/>
  <c r="E109" l="1"/>
  <c r="E193" l="1"/>
  <c r="E161"/>
  <c r="C161"/>
  <c r="C163" s="1"/>
  <c r="E34" l="1"/>
  <c r="E163" l="1"/>
  <c r="E135" l="1"/>
  <c r="E145"/>
  <c r="E102" i="1" l="1"/>
  <c r="E23" i="4" l="1"/>
  <c r="E22"/>
  <c r="E25"/>
  <c r="E133" l="1"/>
  <c r="E126" l="1"/>
  <c r="G184"/>
  <c r="E184" s="1"/>
  <c r="F184"/>
  <c r="F118"/>
  <c r="G118"/>
  <c r="E192"/>
  <c r="E196" s="1"/>
  <c r="E151"/>
  <c r="E179" l="1"/>
  <c r="E100"/>
  <c r="E78"/>
  <c r="E154" l="1"/>
  <c r="E185"/>
  <c r="E190" s="1"/>
  <c r="E172"/>
  <c r="E157"/>
  <c r="E143"/>
  <c r="E148"/>
  <c r="G183"/>
  <c r="E54" l="1"/>
  <c r="E98" l="1"/>
  <c r="E95"/>
  <c r="E75"/>
  <c r="E71"/>
  <c r="E68"/>
  <c r="E64"/>
  <c r="E63"/>
  <c r="E62"/>
  <c r="E60"/>
  <c r="E52"/>
  <c r="E118" s="1"/>
  <c r="E45"/>
  <c r="E44"/>
  <c r="E39"/>
  <c r="E33"/>
  <c r="E17"/>
  <c r="E15"/>
  <c r="E31" l="1"/>
  <c r="G117"/>
  <c r="G198" l="1"/>
  <c r="F191"/>
  <c r="G199" l="1"/>
  <c r="F199"/>
  <c r="F197"/>
  <c r="F116"/>
  <c r="F117" s="1"/>
  <c r="E103" i="1" l="1"/>
  <c r="E108"/>
  <c r="E177" i="4" l="1"/>
  <c r="F183" l="1"/>
  <c r="F198" s="1"/>
  <c r="E182"/>
  <c r="E116"/>
  <c r="E117" s="1"/>
  <c r="E110" i="1"/>
  <c r="F110"/>
  <c r="E139" i="4" l="1"/>
  <c r="E119"/>
  <c r="E183" s="1"/>
  <c r="E198" s="1"/>
  <c r="E199" l="1"/>
  <c r="D109" i="1"/>
  <c r="D108"/>
  <c r="D107"/>
  <c r="D106"/>
  <c r="D105"/>
  <c r="D104"/>
  <c r="D103"/>
  <c r="D110" l="1"/>
  <c r="E111"/>
  <c r="D111" l="1"/>
</calcChain>
</file>

<file path=xl/sharedStrings.xml><?xml version="1.0" encoding="utf-8"?>
<sst xmlns="http://schemas.openxmlformats.org/spreadsheetml/2006/main" count="429" uniqueCount="267">
  <si>
    <t>Наименование учреждения</t>
  </si>
  <si>
    <t>Наименование работ</t>
  </si>
  <si>
    <t>Наименование субсидии</t>
  </si>
  <si>
    <t>Стоимость работ, всего</t>
  </si>
  <si>
    <t>в том числе по источникам финансирования</t>
  </si>
  <si>
    <t>средства областного бюджета</t>
  </si>
  <si>
    <t>средства бюджета Златоустовского городского округа</t>
  </si>
  <si>
    <t>МАДОУ "Детский сад комбинированного вида № 84"</t>
  </si>
  <si>
    <t>Обеспечение физической квалифицированной охраной</t>
  </si>
  <si>
    <t>МАДОУ "Детский сад комбинированного вида № 143"</t>
  </si>
  <si>
    <t>МАОУ СОШ №1</t>
  </si>
  <si>
    <t>МАОУ СОШ №2</t>
  </si>
  <si>
    <t>МАОУ СОШ №3</t>
  </si>
  <si>
    <t>МАОУ СОШ №4</t>
  </si>
  <si>
    <t>МАОУ СОШ №8</t>
  </si>
  <si>
    <t>МАОУ СОШ №9</t>
  </si>
  <si>
    <t>МАОУ СОШ №10</t>
  </si>
  <si>
    <t>МАОУ СОШ №13</t>
  </si>
  <si>
    <t>МАОУ СОШ №15</t>
  </si>
  <si>
    <t>МАОУ СОШ № 18</t>
  </si>
  <si>
    <t>МАОУ СОШ №21</t>
  </si>
  <si>
    <t>МАОУ СОШ №25</t>
  </si>
  <si>
    <t>МАОУ СОШ №34</t>
  </si>
  <si>
    <t>МАОУ СОШ № 35</t>
  </si>
  <si>
    <t>МАОУ СОШ № 38</t>
  </si>
  <si>
    <t>МАОУ СОШ № 45</t>
  </si>
  <si>
    <t xml:space="preserve">МАОУ СОШ № 90 </t>
  </si>
  <si>
    <t>МАУ ШИ №31</t>
  </si>
  <si>
    <t>МАУ Начальная школа №25</t>
  </si>
  <si>
    <t>ИТОГО по направлению</t>
  </si>
  <si>
    <t>МАОУ СОШ №35</t>
  </si>
  <si>
    <t>МАОУ СОШ №36</t>
  </si>
  <si>
    <t>МАОУ СОШ №37</t>
  </si>
  <si>
    <t>МАОУ СОШ №38</t>
  </si>
  <si>
    <t>МАОУ СОШ №90</t>
  </si>
  <si>
    <t>ИТОГО:</t>
  </si>
  <si>
    <t>Тип учреждения</t>
  </si>
  <si>
    <t>средства областного и федерального бюджетов</t>
  </si>
  <si>
    <t>Дошкольные учреждения</t>
  </si>
  <si>
    <t>Ремонт и противопожарные мероприятия</t>
  </si>
  <si>
    <t>МАДОУ "Детский сад № 58"</t>
  </si>
  <si>
    <t>из них на проведение противопожарных мероприятий</t>
  </si>
  <si>
    <t>МАОУ СОШ № 9</t>
  </si>
  <si>
    <t>МАОУ СОШ № 10</t>
  </si>
  <si>
    <t xml:space="preserve">Сумма, рублей
</t>
  </si>
  <si>
    <t>Общеобразовательные учреждения</t>
  </si>
  <si>
    <t>Ремонт кровли СП Детский сад №54</t>
  </si>
  <si>
    <t xml:space="preserve">Ремонт кровли  </t>
  </si>
  <si>
    <t>МАДОУ "Детский сад № 52"</t>
  </si>
  <si>
    <t>Капитальный ремонт здания</t>
  </si>
  <si>
    <t>Субсидия на проведение капитального ремонта зданий и сооружений муниципальных организаций дошкольного образования</t>
  </si>
  <si>
    <t>Субсидия на замену окон в общеобразовательных организациях</t>
  </si>
  <si>
    <t>Замена оконных блоков</t>
  </si>
  <si>
    <t>Монтаж системы оповещения</t>
  </si>
  <si>
    <t>МАДОУ "Детский сад комбинированного вида № 4"</t>
  </si>
  <si>
    <t>Монтаж системы контроля доступа СП ООШ №23</t>
  </si>
  <si>
    <t>Ремонт охранной сигнализации СП ООШ №23</t>
  </si>
  <si>
    <t>Ремонт системы охранного телевидения СП ООШ №23</t>
  </si>
  <si>
    <t>МАДОУ "Детский сад № 72"</t>
  </si>
  <si>
    <t>МАДОУ "Детский сад № 96"</t>
  </si>
  <si>
    <t>МАДОУ "Детский сад комбинированного вида № 43"</t>
  </si>
  <si>
    <t>МАДОУ "Детский сад комбинированного вида № 47"</t>
  </si>
  <si>
    <t>Устройство калитки</t>
  </si>
  <si>
    <t>Ремонт помещений</t>
  </si>
  <si>
    <t xml:space="preserve">Монтаж дверей </t>
  </si>
  <si>
    <t>МАДОУ "Детский сад комбинированного вида № 36"</t>
  </si>
  <si>
    <t>Монтаж металлической двери</t>
  </si>
  <si>
    <t>МАДОУ "Детский сад № 17"</t>
  </si>
  <si>
    <t>Монтаж системы вентиляции</t>
  </si>
  <si>
    <t>МАДОУ "Детский сад № 5"</t>
  </si>
  <si>
    <t>МАДОУ "Детский сад № 2"</t>
  </si>
  <si>
    <t>Ремонтные работы</t>
  </si>
  <si>
    <t>МАДОУ "Детский сад № 24"</t>
  </si>
  <si>
    <t>Замена дверей</t>
  </si>
  <si>
    <t>МАДОУ "Детский сад № 33"</t>
  </si>
  <si>
    <t>МАДОУ "Детский сад № 38"</t>
  </si>
  <si>
    <t>МАДОУ "Детский сад № 44"</t>
  </si>
  <si>
    <t>МАДОУ "Детский сад № 47"</t>
  </si>
  <si>
    <t>Ремонт санитарного узла</t>
  </si>
  <si>
    <t>Противопожарные мероприятия</t>
  </si>
  <si>
    <t>МАДОУ "Детский сад № 59"</t>
  </si>
  <si>
    <t>МАДОУ "Детский сад № 61"</t>
  </si>
  <si>
    <t>Замена светильников</t>
  </si>
  <si>
    <t>МАДОУ "Детский сад № 62"</t>
  </si>
  <si>
    <t>МАДОУ "Детский сад № 63"</t>
  </si>
  <si>
    <t>МАДОУ "Детский сад № 65"</t>
  </si>
  <si>
    <t>Замена линолеума</t>
  </si>
  <si>
    <t>МАДОУ "Детский сад № 71"</t>
  </si>
  <si>
    <t>МАДОУ "Детский сад № 87"</t>
  </si>
  <si>
    <t>МАДОУ "Детский сад № 209"</t>
  </si>
  <si>
    <t>МАДОУ "Детский сад № 91"</t>
  </si>
  <si>
    <t>МАДОУ "Детский сад комбинированного вида № 33"</t>
  </si>
  <si>
    <t xml:space="preserve">Приобретение материалов для ремонта ограждения </t>
  </si>
  <si>
    <t xml:space="preserve">Монтаж системы контроля доступа </t>
  </si>
  <si>
    <t>МАОУ СОШ № 34</t>
  </si>
  <si>
    <t>МАОУ СОШ № 8</t>
  </si>
  <si>
    <t>МАОУ СОШ № 4</t>
  </si>
  <si>
    <t>Ремонт коридора</t>
  </si>
  <si>
    <t>МАОУ СОШ № 90</t>
  </si>
  <si>
    <t>Замена освещения</t>
  </si>
  <si>
    <t>Установка перегородки</t>
  </si>
  <si>
    <t>МАУ ДО ЦЮТ</t>
  </si>
  <si>
    <t>Приобретение материалов для ремонтных работ</t>
  </si>
  <si>
    <t>МАОУ СОШ № 25</t>
  </si>
  <si>
    <t>Учреждения дополнительного образования</t>
  </si>
  <si>
    <t>МАДОУ "Детский сад № 73"</t>
  </si>
  <si>
    <t>Монтаж притяжной вентиляции</t>
  </si>
  <si>
    <t>МАДОУ "Детский сад № 92"</t>
  </si>
  <si>
    <t>Услуги прохождения государственной экспертизы</t>
  </si>
  <si>
    <t>Аварийный ремонт системы отопления</t>
  </si>
  <si>
    <t>МАДОУ "Детский сад комбинированного вида № 15"</t>
  </si>
  <si>
    <t>Монтаж разделительного забора, в том числе разработка проектно-сметной документации</t>
  </si>
  <si>
    <t>Восстановление работоспособности системы видеонаблюдения</t>
  </si>
  <si>
    <t>Монтаж системы контроля управления доступом</t>
  </si>
  <si>
    <t>МАДОУ "Детский сад № 75"</t>
  </si>
  <si>
    <t>Монтаж дополнительных камер видеонаблюдения</t>
  </si>
  <si>
    <t>МАДОУ "Детский сад комбинированного вида № 38"</t>
  </si>
  <si>
    <t>Восстановление аварийного освещения</t>
  </si>
  <si>
    <t>Монтаж системы контроля доступа</t>
  </si>
  <si>
    <t xml:space="preserve">МАОУ СОШ № 2 </t>
  </si>
  <si>
    <t>Ремонт системы АПС</t>
  </si>
  <si>
    <t>Ремонт системы видеонаблюдения</t>
  </si>
  <si>
    <t>МАОУ СОШ № 21</t>
  </si>
  <si>
    <t>Монтаж освещения на фасаде здания</t>
  </si>
  <si>
    <t>Прочие учреждения</t>
  </si>
  <si>
    <t>МАУ ЦООД Горный</t>
  </si>
  <si>
    <t xml:space="preserve">Монтаж системы оповещения </t>
  </si>
  <si>
    <t>МАДОУ "Детский сад № 76"</t>
  </si>
  <si>
    <t>Замена стеклопакетов</t>
  </si>
  <si>
    <t>МАДОУ "Детский сад № 29"</t>
  </si>
  <si>
    <t>МАДОУ "Детский сад комбинированного вида № 5"</t>
  </si>
  <si>
    <t>Ремонт АПС</t>
  </si>
  <si>
    <t>Аварийные работы в системе отопления</t>
  </si>
  <si>
    <t>Аварийный ремонт ХВС</t>
  </si>
  <si>
    <t>МАДОУ "Детский сад комбинированного вида № 137"</t>
  </si>
  <si>
    <t>МАДОУ "Детский сад № 98"</t>
  </si>
  <si>
    <t>Монтаж дополнительных камер видеонаблюдения, дооборудование системы видеонаблюдения</t>
  </si>
  <si>
    <t>монтаж камер системы видеонаблюдения</t>
  </si>
  <si>
    <t>оснащение видеонаблюдением контрольно-пропускного пункта</t>
  </si>
  <si>
    <t>МАДОУ "Детский сад №7"</t>
  </si>
  <si>
    <t>Аварийный ремонт ЛЭП</t>
  </si>
  <si>
    <t>Ремонт кровли</t>
  </si>
  <si>
    <t>Аварийный ремонт канализации</t>
  </si>
  <si>
    <t>Аварийный ремонт  помещений</t>
  </si>
  <si>
    <t>Приобретение краски, монтаж дверей</t>
  </si>
  <si>
    <t>МАДОУ "Детский сад №15"</t>
  </si>
  <si>
    <t>Ремонт кровли, технический надзор за работами, проведение негосударственной экспертизы сметной стоимости работ, осуществление строительного контроля (технического надзора)</t>
  </si>
  <si>
    <t>Монтаж системы пожарной безопасности, рабочий проект ПС и СО,
управления эвакуацией людей при пожаре</t>
  </si>
  <si>
    <t>МАОУ СОШ № 3</t>
  </si>
  <si>
    <t>Ремонт пожарного водопровода</t>
  </si>
  <si>
    <t>Аварийный ремонт</t>
  </si>
  <si>
    <t>МАУ ЦООД "Лесная сказка"</t>
  </si>
  <si>
    <t>Дооборудование системы видеонаблюдения</t>
  </si>
  <si>
    <t>Ремонт ограждения территории</t>
  </si>
  <si>
    <t>Аварийная ситуация на вводе тепловой сети</t>
  </si>
  <si>
    <t>Разработка сметной документации</t>
  </si>
  <si>
    <t>Ремонт сантехнических перегородок</t>
  </si>
  <si>
    <t>Приобретение линолеума</t>
  </si>
  <si>
    <t>Приобретение строительных материалов</t>
  </si>
  <si>
    <t>Ремонтные работы СП ДС №69</t>
  </si>
  <si>
    <t>МАУ ЦООД Лесная сказка</t>
  </si>
  <si>
    <t>Монтаж ограждения</t>
  </si>
  <si>
    <t>Монтаж перегородок</t>
  </si>
  <si>
    <t>Аварийный ремонт теплотрассы</t>
  </si>
  <si>
    <t>МАОУ СОШ № 36</t>
  </si>
  <si>
    <t>Замена оконных блоков (дополнительные работы)</t>
  </si>
  <si>
    <t>МАУ ДО ДДиЮ</t>
  </si>
  <si>
    <t xml:space="preserve">Ремонт актового зала, в том числе проведение обследования </t>
  </si>
  <si>
    <t>проведение инженерно-геологических изысканий</t>
  </si>
  <si>
    <t>разработка проектна на капитальный ремонт здания</t>
  </si>
  <si>
    <t>Ремонт теплообменника, канализации</t>
  </si>
  <si>
    <t>МАДОУ "Детский сад № 137"</t>
  </si>
  <si>
    <t>монтаж узла учета</t>
  </si>
  <si>
    <t>Приобретение материалов для ремонтных работ монтаж узла учета</t>
  </si>
  <si>
    <t>МАДОУ "Детский сад № 84"</t>
  </si>
  <si>
    <t>МАДОУ "Детский сад № 77"</t>
  </si>
  <si>
    <t>МАДОУ "Детский сад № 143"</t>
  </si>
  <si>
    <t>замена расходомера на обратном трубопроводе</t>
  </si>
  <si>
    <t xml:space="preserve"> монтаж системы водоснабжения и водоотведения в кабинетах врача и процедурном</t>
  </si>
  <si>
    <t>МАДОУ "Детский сад № 80"</t>
  </si>
  <si>
    <t>МАДОУ "Детский сад № 90"</t>
  </si>
  <si>
    <t>Приобретение  и монтаж ворот и калитки</t>
  </si>
  <si>
    <t>МАОУ СОШ № 37</t>
  </si>
  <si>
    <t>Устройство притяжной вентиляции на пищеблоках</t>
  </si>
  <si>
    <t>Устройство временного ограждения</t>
  </si>
  <si>
    <t>МАДОУ "Детский сад № 95"</t>
  </si>
  <si>
    <t>Ремонт помещений "Доброшколы", кабинетов РАС</t>
  </si>
  <si>
    <t>Ремонт системы контроля управления доступом, замена входной двери</t>
  </si>
  <si>
    <t>Замена окон</t>
  </si>
  <si>
    <t>Ремонт ограждения территории (ворота, калитка), монтаж системы СКУД</t>
  </si>
  <si>
    <t>МАДОУ "Детский сад № 34"</t>
  </si>
  <si>
    <t>Замена бойлера</t>
  </si>
  <si>
    <t>Приобретение двери, замена люка</t>
  </si>
  <si>
    <t>Ремнот канализационных стоков</t>
  </si>
  <si>
    <t>Замена трубопровода</t>
  </si>
  <si>
    <t>Обследование кровли</t>
  </si>
  <si>
    <t>Аварийный ремонт гидранта</t>
  </si>
  <si>
    <t>Капитальный ремонт подпорный стены (бетон)</t>
  </si>
  <si>
    <t>разработка проектно-сметной документации на капитальный ремонт здания</t>
  </si>
  <si>
    <t>Ремонт СП ООШ №23 (канализация, ремонт помещений, ремонт кровли), в том числе технический надзор и проверка сметной стоимости работ</t>
  </si>
  <si>
    <t>МАДОУ "Детский сад № 81"</t>
  </si>
  <si>
    <t>Монтаж узла учета</t>
  </si>
  <si>
    <t>Огнезащитная обработка чердачных помещений</t>
  </si>
  <si>
    <t>МАОУ СОШ № 13</t>
  </si>
  <si>
    <t>Ремонт системы отопления</t>
  </si>
  <si>
    <t>Разработка проекта на капитальный ремонт здания</t>
  </si>
  <si>
    <t>МАДОУ "Детский сад № 82"</t>
  </si>
  <si>
    <t>Ремонт теплотрассы</t>
  </si>
  <si>
    <t>Замена водоподогревателя</t>
  </si>
  <si>
    <t>замена пожарного гидранта, аварийный ремонт канализации и отопления</t>
  </si>
  <si>
    <t>замена кафельной плитки</t>
  </si>
  <si>
    <t>Ремонт котельной, приобретение строительных материалов для ремонта и подготовки лагеря</t>
  </si>
  <si>
    <t>МАУ ЦМиХО</t>
  </si>
  <si>
    <t>МАУ ДО ЦЭВД</t>
  </si>
  <si>
    <t>ремонт помещений, разработка проектно-сметной документации, ремонт кровли</t>
  </si>
  <si>
    <t>МАУ ДО ДвДТ</t>
  </si>
  <si>
    <t>Ремонт кровли, ремонт электропроводки</t>
  </si>
  <si>
    <t>Монтаж тревожной сигнализации</t>
  </si>
  <si>
    <t>модернизация системы видеонаблюдения</t>
  </si>
  <si>
    <t>монтаж охранной сигнализации</t>
  </si>
  <si>
    <t>Монтаж охранной синализации</t>
  </si>
  <si>
    <t>Аварийные работы на теплотрассе</t>
  </si>
  <si>
    <t>Разработка проектно-сметной документации</t>
  </si>
  <si>
    <t>МАДОУ "Детский сад комбинированного вида № 2"</t>
  </si>
  <si>
    <t>Монтаж охранной сигнализации</t>
  </si>
  <si>
    <t>МАДОУ "Детский сад комбинированного вида № 17"</t>
  </si>
  <si>
    <t>Монтаж системы видеонаблюдения</t>
  </si>
  <si>
    <t>Ремонт кровли, в том числе технический надзор (строительный контроль)</t>
  </si>
  <si>
    <t>Ремонт помещений, ремонт кровли</t>
  </si>
  <si>
    <t>Монтаж снегозадержателей</t>
  </si>
  <si>
    <t>Модернизация АПС</t>
  </si>
  <si>
    <t>МАДОУ "Детский сад № 50"</t>
  </si>
  <si>
    <t>Ремонт кровли, туалетных кабинок</t>
  </si>
  <si>
    <t>Ремонт системы отопления, замена оконных блоков</t>
  </si>
  <si>
    <t>Ремонт кабинета</t>
  </si>
  <si>
    <t>Замена оконных блоков, аварийный ремонт ГВС</t>
  </si>
  <si>
    <t>Аварийный ремонт потолка</t>
  </si>
  <si>
    <t>Установка двери, ремонт бойлера, замена оконных блоков</t>
  </si>
  <si>
    <t>Аварийный ремонт  отопления</t>
  </si>
  <si>
    <t>Ремонт эвакуационных выходов</t>
  </si>
  <si>
    <t>Замена калачей</t>
  </si>
  <si>
    <t>Аварийный ремонт электропроводки</t>
  </si>
  <si>
    <t>Аварийный ремонт кровли</t>
  </si>
  <si>
    <t>Аварийный ремонт потолочного покрытия, бойлера</t>
  </si>
  <si>
    <t>Ремонт сети энергоснабжения, отопления</t>
  </si>
  <si>
    <t>Ремонт спортзала</t>
  </si>
  <si>
    <t>Аварийный ремонт теплоснабжения, замена стояка в подвальном помещении, замена окон</t>
  </si>
  <si>
    <t>Замена оконных блоков, дверей</t>
  </si>
  <si>
    <t>МАДОУ "Детский сад № 36"</t>
  </si>
  <si>
    <t>ремонт кровли спортивного зала</t>
  </si>
  <si>
    <t>Монтаж системы оповещения, тревожной сигнализации</t>
  </si>
  <si>
    <t>Монтаж системы контроля управления доступом, система оповещения</t>
  </si>
  <si>
    <t>Восстановление ХВС</t>
  </si>
  <si>
    <t>Приобретение строительного материала</t>
  </si>
  <si>
    <t>Ремонт канализации</t>
  </si>
  <si>
    <t>Аварийный ремонт системы отопления,</t>
  </si>
  <si>
    <t>аварийный ремонт кровли, в том числе технический надзор</t>
  </si>
  <si>
    <t>ремонт АПС</t>
  </si>
  <si>
    <t>Ремонт туалетов, ремонт потолка</t>
  </si>
  <si>
    <t>Приобретение противопожарной краски, радиаторов, ремонт АПС</t>
  </si>
  <si>
    <t>Замена входной двери</t>
  </si>
  <si>
    <t>Перечень объектов и работ по ремонтам и противопожарным мероприятиям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2024 год</t>
  </si>
  <si>
    <t>(рублей)</t>
  </si>
  <si>
    <t>Перечень объектов и видов мероприятий антитеррористической направленности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2024 год</t>
  </si>
  <si>
    <t>Субсидия на обеспечение образовательных организаций 1, 2 категории квалифицированной охраной</t>
  </si>
  <si>
    <t xml:space="preserve">ПРИЛОЖЕНИЕ 1
Утверждено
распоряжением администрации
Златоустовского городского округа
от 24.12.2024 г. № 3714-р/АДМ
</t>
  </si>
  <si>
    <t xml:space="preserve">ПРИЛОЖЕНИЕ 2
Утверждено
распоряжением администрации
Златоустовского городского округа
от 24.12.2024 г. № 3714-р/АДМ
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</si>
</sst>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_(* #,##0.00_);_(* \(#,##0.00\);_(* &quot;-&quot;??_);_(@_)"/>
    <numFmt numFmtId="165" formatCode="_(* #,##0.000000000_);_(* \(#,##0.000000000\);_(* &quot;-&quot;??_);_(@_)"/>
    <numFmt numFmtId="166" formatCode="_(* #,##0.0000_);_(* \(#,##0.0000\);_(* &quot;-&quot;??_);_(@_)"/>
    <numFmt numFmtId="167" formatCode="_-* #,##0.0000\ _₽_-;\-* #,##0.0000\ _₽_-;_-* &quot;-&quot;????\ _₽_-;_-@_-"/>
  </numFmts>
  <fonts count="7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wrapText="1" shrinkToFit="1"/>
    </xf>
    <xf numFmtId="164" fontId="2" fillId="2" borderId="0" xfId="1" applyFont="1" applyFill="1" applyAlignment="1">
      <alignment wrapText="1" shrinkToFit="1"/>
    </xf>
    <xf numFmtId="0" fontId="4" fillId="2" borderId="5" xfId="0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horizontal="right" vertical="center" wrapText="1" shrinkToFi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 shrinkToFit="1"/>
    </xf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right"/>
    </xf>
    <xf numFmtId="164" fontId="2" fillId="2" borderId="5" xfId="1" applyFont="1" applyFill="1" applyBorder="1" applyAlignment="1">
      <alignment horizontal="right" vertical="center"/>
    </xf>
    <xf numFmtId="164" fontId="2" fillId="2" borderId="0" xfId="1" applyFont="1" applyFill="1" applyAlignment="1">
      <alignment horizontal="center" wrapText="1" shrinkToFit="1"/>
    </xf>
    <xf numFmtId="0" fontId="2" fillId="2" borderId="0" xfId="0" applyFont="1" applyFill="1" applyAlignment="1">
      <alignment horizontal="left" wrapText="1" shrinkToFit="1"/>
    </xf>
    <xf numFmtId="0" fontId="2" fillId="2" borderId="5" xfId="0" applyFont="1" applyFill="1" applyBorder="1" applyAlignment="1">
      <alignment vertical="center"/>
    </xf>
    <xf numFmtId="164" fontId="2" fillId="2" borderId="5" xfId="1" applyFont="1" applyFill="1" applyBorder="1" applyAlignment="1">
      <alignment vertical="center"/>
    </xf>
    <xf numFmtId="164" fontId="5" fillId="2" borderId="5" xfId="1" applyFont="1" applyFill="1" applyBorder="1" applyAlignment="1">
      <alignment vertical="center"/>
    </xf>
    <xf numFmtId="164" fontId="4" fillId="2" borderId="5" xfId="1" applyFont="1" applyFill="1" applyBorder="1" applyAlignment="1">
      <alignment vertical="center"/>
    </xf>
    <xf numFmtId="165" fontId="2" fillId="2" borderId="0" xfId="1" applyNumberFormat="1" applyFont="1" applyFill="1" applyAlignment="1">
      <alignment horizontal="right" vertical="center"/>
    </xf>
    <xf numFmtId="164" fontId="2" fillId="2" borderId="0" xfId="1" applyFont="1" applyFill="1" applyAlignment="1">
      <alignment horizontal="right" vertical="center"/>
    </xf>
    <xf numFmtId="43" fontId="2" fillId="2" borderId="0" xfId="0" applyNumberFormat="1" applyFont="1" applyFill="1"/>
    <xf numFmtId="166" fontId="2" fillId="2" borderId="0" xfId="1" applyNumberFormat="1" applyFont="1" applyFill="1"/>
    <xf numFmtId="167" fontId="2" fillId="2" borderId="0" xfId="0" applyNumberFormat="1" applyFont="1" applyFill="1"/>
    <xf numFmtId="164" fontId="2" fillId="2" borderId="1" xfId="1" applyFont="1" applyFill="1" applyBorder="1" applyAlignment="1">
      <alignment vertical="center" wrapText="1" shrinkToFit="1"/>
    </xf>
    <xf numFmtId="164" fontId="2" fillId="2" borderId="4" xfId="1" applyFont="1" applyFill="1" applyBorder="1" applyAlignment="1">
      <alignment vertical="center" wrapText="1" shrinkToFit="1"/>
    </xf>
    <xf numFmtId="164" fontId="2" fillId="2" borderId="6" xfId="1" applyFont="1" applyFill="1" applyBorder="1" applyAlignment="1">
      <alignment vertical="center" wrapText="1" shrinkToFit="1"/>
    </xf>
    <xf numFmtId="4" fontId="2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left" vertical="center" wrapText="1" shrinkToFit="1"/>
    </xf>
    <xf numFmtId="0" fontId="2" fillId="2" borderId="0" xfId="0" applyFont="1" applyFill="1" applyAlignment="1">
      <alignment vertical="center" wrapText="1" shrinkToFit="1"/>
    </xf>
    <xf numFmtId="164" fontId="2" fillId="2" borderId="0" xfId="1" applyFont="1" applyFill="1" applyAlignment="1">
      <alignment horizontal="right" wrapText="1" shrinkToFit="1"/>
    </xf>
    <xf numFmtId="0" fontId="4" fillId="2" borderId="5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/>
    <xf numFmtId="164" fontId="4" fillId="0" borderId="5" xfId="1" applyFont="1" applyFill="1" applyBorder="1" applyAlignment="1">
      <alignment horizontal="right" vertical="center" wrapText="1" shrinkToFit="1"/>
    </xf>
    <xf numFmtId="0" fontId="4" fillId="2" borderId="4" xfId="0" applyFont="1" applyFill="1" applyBorder="1" applyAlignment="1">
      <alignment horizontal="left" vertical="center" wrapText="1"/>
    </xf>
    <xf numFmtId="164" fontId="2" fillId="2" borderId="1" xfId="1" applyFont="1" applyFill="1" applyBorder="1" applyAlignment="1">
      <alignment horizontal="center" vertical="center" wrapText="1" shrinkToFit="1"/>
    </xf>
    <xf numFmtId="164" fontId="2" fillId="2" borderId="4" xfId="1" applyFont="1" applyFill="1" applyBorder="1" applyAlignment="1">
      <alignment horizontal="center" vertical="center" wrapText="1" shrinkToFit="1"/>
    </xf>
    <xf numFmtId="164" fontId="2" fillId="2" borderId="1" xfId="1" applyFont="1" applyFill="1" applyBorder="1" applyAlignment="1">
      <alignment horizontal="right" vertical="center" wrapText="1" shrinkToFit="1"/>
    </xf>
    <xf numFmtId="164" fontId="2" fillId="2" borderId="4" xfId="1" applyFont="1" applyFill="1" applyBorder="1" applyAlignment="1">
      <alignment horizontal="right" vertical="center" wrapText="1" shrinkToFit="1"/>
    </xf>
    <xf numFmtId="0" fontId="2" fillId="2" borderId="4" xfId="0" applyFont="1" applyFill="1" applyBorder="1" applyAlignment="1">
      <alignment horizontal="left" vertical="center"/>
    </xf>
    <xf numFmtId="164" fontId="2" fillId="2" borderId="5" xfId="1" applyFont="1" applyFill="1" applyBorder="1" applyAlignment="1">
      <alignment horizontal="center" vertical="center" wrapText="1" shrinkToFit="1"/>
    </xf>
    <xf numFmtId="164" fontId="2" fillId="2" borderId="5" xfId="1" applyFont="1" applyFill="1" applyBorder="1" applyAlignment="1">
      <alignment horizontal="right" vertical="center" wrapText="1" shrinkToFit="1"/>
    </xf>
    <xf numFmtId="164" fontId="2" fillId="2" borderId="5" xfId="1" applyFont="1" applyFill="1" applyBorder="1" applyAlignment="1">
      <alignment horizontal="center" vertical="center"/>
    </xf>
    <xf numFmtId="164" fontId="2" fillId="2" borderId="6" xfId="1" applyFont="1" applyFill="1" applyBorder="1" applyAlignment="1">
      <alignment horizontal="center" vertical="center" wrapText="1" shrinkToFit="1"/>
    </xf>
    <xf numFmtId="164" fontId="4" fillId="2" borderId="4" xfId="1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left" vertical="center" wrapText="1" shrinkToFit="1"/>
    </xf>
    <xf numFmtId="164" fontId="2" fillId="2" borderId="6" xfId="1" applyFont="1" applyFill="1" applyBorder="1" applyAlignment="1">
      <alignment horizontal="right" vertical="center" wrapText="1" shrinkToFit="1"/>
    </xf>
    <xf numFmtId="0" fontId="4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4" fontId="2" fillId="2" borderId="5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 shrinkToFit="1"/>
    </xf>
    <xf numFmtId="0" fontId="2" fillId="2" borderId="5" xfId="0" applyFont="1" applyFill="1" applyBorder="1" applyAlignment="1">
      <alignment horizontal="center" vertical="center"/>
    </xf>
    <xf numFmtId="164" fontId="2" fillId="2" borderId="5" xfId="1" applyFont="1" applyFill="1" applyBorder="1" applyAlignment="1">
      <alignment horizontal="center" vertical="center" wrapText="1" shrinkToFit="1"/>
    </xf>
    <xf numFmtId="164" fontId="2" fillId="2" borderId="5" xfId="1" applyFont="1" applyFill="1" applyBorder="1" applyAlignment="1">
      <alignment horizontal="right" vertical="center" wrapText="1" shrinkToFit="1"/>
    </xf>
    <xf numFmtId="164" fontId="2" fillId="2" borderId="6" xfId="1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left" vertical="center" wrapText="1" shrinkToFit="1"/>
    </xf>
    <xf numFmtId="164" fontId="2" fillId="2" borderId="6" xfId="1" applyFont="1" applyFill="1" applyBorder="1" applyAlignment="1">
      <alignment horizontal="right" vertical="center" wrapText="1" shrinkToFit="1"/>
    </xf>
    <xf numFmtId="0" fontId="4" fillId="2" borderId="6" xfId="0" applyFont="1" applyFill="1" applyBorder="1" applyAlignment="1">
      <alignment horizontal="left" vertical="center" wrapText="1"/>
    </xf>
    <xf numFmtId="4" fontId="2" fillId="2" borderId="5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164" fontId="2" fillId="2" borderId="4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 shrinkToFit="1"/>
    </xf>
    <xf numFmtId="0" fontId="4" fillId="2" borderId="5" xfId="0" applyFont="1" applyFill="1" applyBorder="1" applyAlignment="1">
      <alignment horizontal="left" vertical="center" wrapText="1"/>
    </xf>
    <xf numFmtId="4" fontId="2" fillId="2" borderId="4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 shrinkToFit="1"/>
    </xf>
    <xf numFmtId="0" fontId="4" fillId="2" borderId="5" xfId="0" applyFont="1" applyFill="1" applyBorder="1" applyAlignment="1">
      <alignment horizontal="left" vertical="center" wrapText="1"/>
    </xf>
    <xf numFmtId="164" fontId="3" fillId="2" borderId="0" xfId="1" applyFont="1" applyFill="1" applyAlignment="1">
      <alignment horizont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64" fontId="4" fillId="2" borderId="1" xfId="1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4" fontId="5" fillId="2" borderId="4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64" fontId="2" fillId="2" borderId="1" xfId="1" applyFont="1" applyFill="1" applyBorder="1" applyAlignment="1">
      <alignment horizontal="right" vertical="center" wrapText="1" shrinkToFit="1"/>
    </xf>
    <xf numFmtId="164" fontId="2" fillId="2" borderId="6" xfId="1" applyFont="1" applyFill="1" applyBorder="1" applyAlignment="1">
      <alignment horizontal="right" vertical="center" wrapText="1" shrinkToFit="1"/>
    </xf>
    <xf numFmtId="164" fontId="2" fillId="2" borderId="4" xfId="1" applyFont="1" applyFill="1" applyBorder="1" applyAlignment="1">
      <alignment horizontal="right" vertical="center" wrapText="1" shrinkToFit="1"/>
    </xf>
    <xf numFmtId="164" fontId="2" fillId="2" borderId="1" xfId="1" applyFont="1" applyFill="1" applyBorder="1" applyAlignment="1">
      <alignment horizontal="center" vertical="center" wrapText="1" shrinkToFit="1"/>
    </xf>
    <xf numFmtId="164" fontId="2" fillId="2" borderId="6" xfId="1" applyFont="1" applyFill="1" applyBorder="1" applyAlignment="1">
      <alignment horizontal="center" vertical="center" wrapText="1" shrinkToFit="1"/>
    </xf>
    <xf numFmtId="164" fontId="2" fillId="2" borderId="4" xfId="1" applyFont="1" applyFill="1" applyBorder="1" applyAlignment="1">
      <alignment horizontal="center" vertical="center" wrapText="1" shrinkToFit="1"/>
    </xf>
    <xf numFmtId="164" fontId="4" fillId="2" borderId="6" xfId="1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right" vertical="center"/>
    </xf>
    <xf numFmtId="164" fontId="2" fillId="2" borderId="6" xfId="1" applyFont="1" applyFill="1" applyBorder="1" applyAlignment="1">
      <alignment horizontal="right" vertical="center"/>
    </xf>
    <xf numFmtId="164" fontId="2" fillId="2" borderId="4" xfId="1" applyFont="1" applyFill="1" applyBorder="1" applyAlignment="1">
      <alignment horizontal="right" vertical="center"/>
    </xf>
    <xf numFmtId="164" fontId="2" fillId="2" borderId="1" xfId="1" applyFont="1" applyFill="1" applyBorder="1" applyAlignment="1">
      <alignment horizontal="left" vertical="center"/>
    </xf>
    <xf numFmtId="164" fontId="2" fillId="2" borderId="6" xfId="1" applyFont="1" applyFill="1" applyBorder="1" applyAlignment="1">
      <alignment horizontal="left" vertical="center"/>
    </xf>
    <xf numFmtId="164" fontId="2" fillId="2" borderId="4" xfId="1" applyFont="1" applyFill="1" applyBorder="1" applyAlignment="1">
      <alignment horizontal="left" vertical="center"/>
    </xf>
    <xf numFmtId="164" fontId="2" fillId="2" borderId="1" xfId="1" applyFont="1" applyFill="1" applyBorder="1" applyAlignment="1">
      <alignment horizontal="left" vertical="center" wrapText="1" shrinkToFit="1"/>
    </xf>
    <xf numFmtId="164" fontId="2" fillId="2" borderId="6" xfId="1" applyFont="1" applyFill="1" applyBorder="1" applyAlignment="1">
      <alignment horizontal="left" vertical="center" wrapText="1" shrinkToFit="1"/>
    </xf>
    <xf numFmtId="164" fontId="2" fillId="2" borderId="4" xfId="1" applyFont="1" applyFill="1" applyBorder="1" applyAlignment="1">
      <alignment horizontal="left" vertical="center" wrapText="1" shrinkToFit="1"/>
    </xf>
    <xf numFmtId="164" fontId="4" fillId="2" borderId="5" xfId="1" applyFont="1" applyFill="1" applyBorder="1" applyAlignment="1">
      <alignment horizontal="center" vertical="center"/>
    </xf>
    <xf numFmtId="164" fontId="2" fillId="2" borderId="5" xfId="1" applyFont="1" applyFill="1" applyBorder="1" applyAlignment="1">
      <alignment horizontal="center" vertical="center"/>
    </xf>
    <xf numFmtId="164" fontId="5" fillId="2" borderId="5" xfId="1" applyFont="1" applyFill="1" applyBorder="1" applyAlignment="1">
      <alignment horizontal="center" vertical="center"/>
    </xf>
    <xf numFmtId="164" fontId="2" fillId="2" borderId="6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right" vertical="center" wrapText="1" shrinkToFit="1"/>
    </xf>
    <xf numFmtId="164" fontId="4" fillId="2" borderId="6" xfId="1" applyFont="1" applyFill="1" applyBorder="1" applyAlignment="1">
      <alignment horizontal="right" vertical="center" wrapText="1" shrinkToFit="1"/>
    </xf>
    <xf numFmtId="164" fontId="4" fillId="2" borderId="4" xfId="1" applyFont="1" applyFill="1" applyBorder="1" applyAlignment="1">
      <alignment horizontal="right" vertical="center" wrapText="1" shrinkToFit="1"/>
    </xf>
    <xf numFmtId="164" fontId="2" fillId="2" borderId="5" xfId="1" applyFont="1" applyFill="1" applyBorder="1" applyAlignment="1">
      <alignment horizontal="center" vertical="center" wrapText="1" shrinkToFit="1"/>
    </xf>
    <xf numFmtId="164" fontId="2" fillId="2" borderId="5" xfId="1" applyFont="1" applyFill="1" applyBorder="1" applyAlignment="1">
      <alignment horizontal="right" vertical="center" wrapText="1" shrinkToFit="1"/>
    </xf>
    <xf numFmtId="0" fontId="2" fillId="2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 wrapText="1" shrinkToFit="1"/>
    </xf>
    <xf numFmtId="164" fontId="5" fillId="2" borderId="6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 shrinkToFit="1"/>
    </xf>
    <xf numFmtId="0" fontId="3" fillId="2" borderId="0" xfId="0" applyFont="1" applyFill="1" applyAlignment="1">
      <alignment horizontal="center" wrapText="1" shrinkToFit="1"/>
    </xf>
    <xf numFmtId="0" fontId="2" fillId="2" borderId="5" xfId="0" applyFont="1" applyFill="1" applyBorder="1" applyAlignment="1">
      <alignment horizontal="left" vertical="center"/>
    </xf>
    <xf numFmtId="164" fontId="4" fillId="2" borderId="1" xfId="1" applyFont="1" applyFill="1" applyBorder="1" applyAlignment="1">
      <alignment horizontal="center" vertical="center" wrapText="1" shrinkToFit="1"/>
    </xf>
    <xf numFmtId="164" fontId="4" fillId="2" borderId="6" xfId="1" applyFont="1" applyFill="1" applyBorder="1" applyAlignment="1">
      <alignment horizontal="center" vertical="center" wrapText="1" shrinkToFit="1"/>
    </xf>
    <xf numFmtId="164" fontId="4" fillId="2" borderId="4" xfId="1" applyFont="1" applyFill="1" applyBorder="1" applyAlignment="1">
      <alignment horizontal="center" vertical="center" wrapText="1" shrinkToFit="1"/>
    </xf>
    <xf numFmtId="164" fontId="3" fillId="2" borderId="0" xfId="1" applyFont="1" applyFill="1" applyAlignment="1">
      <alignment horizontal="center" wrapText="1" shrinkToFit="1"/>
    </xf>
    <xf numFmtId="0" fontId="2" fillId="2" borderId="1" xfId="0" applyFont="1" applyFill="1" applyBorder="1" applyAlignment="1">
      <alignment horizontal="left" vertical="center" wrapText="1" shrinkToFit="1"/>
    </xf>
    <xf numFmtId="0" fontId="2" fillId="2" borderId="6" xfId="0" applyFont="1" applyFill="1" applyBorder="1" applyAlignment="1">
      <alignment horizontal="left" vertical="center" wrapText="1" shrinkToFit="1"/>
    </xf>
    <xf numFmtId="0" fontId="2" fillId="2" borderId="4" xfId="0" applyFont="1" applyFill="1" applyBorder="1" applyAlignment="1">
      <alignment horizontal="left" vertical="center" wrapText="1" shrinkToFit="1"/>
    </xf>
    <xf numFmtId="4" fontId="2" fillId="2" borderId="1" xfId="1" applyNumberFormat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 wrapText="1" shrinkToFit="1"/>
    </xf>
    <xf numFmtId="0" fontId="2" fillId="2" borderId="5" xfId="0" applyFont="1" applyFill="1" applyBorder="1" applyAlignment="1">
      <alignment horizontal="center" wrapText="1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 shrinkToFi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99"/>
  <sheetViews>
    <sheetView zoomScale="112" zoomScaleNormal="112" workbookViewId="0">
      <selection activeCell="E13" sqref="E13:E14"/>
    </sheetView>
  </sheetViews>
  <sheetFormatPr defaultColWidth="9.140625" defaultRowHeight="12.75"/>
  <cols>
    <col min="1" max="1" width="21.140625" style="11" customWidth="1"/>
    <col min="2" max="2" width="25.28515625" style="3" customWidth="1"/>
    <col min="3" max="3" width="34.85546875" style="15" customWidth="1"/>
    <col min="4" max="4" width="18.85546875" style="4" customWidth="1"/>
    <col min="5" max="5" width="16" style="5" customWidth="1"/>
    <col min="6" max="6" width="17.5703125" style="5" customWidth="1"/>
    <col min="7" max="7" width="20.7109375" style="12" customWidth="1"/>
    <col min="8" max="8" width="16.85546875" style="3" customWidth="1"/>
    <col min="9" max="16384" width="9.140625" style="3"/>
  </cols>
  <sheetData>
    <row r="2" spans="1:7">
      <c r="D2" s="129" t="s">
        <v>265</v>
      </c>
      <c r="E2" s="129"/>
      <c r="F2" s="129"/>
    </row>
    <row r="3" spans="1:7">
      <c r="D3" s="129"/>
      <c r="E3" s="129"/>
      <c r="F3" s="129"/>
    </row>
    <row r="4" spans="1:7">
      <c r="D4" s="129"/>
      <c r="E4" s="129"/>
      <c r="F4" s="129"/>
    </row>
    <row r="5" spans="1:7" ht="12.75" customHeight="1">
      <c r="D5" s="129"/>
      <c r="E5" s="129"/>
      <c r="F5" s="129"/>
      <c r="G5" s="77"/>
    </row>
    <row r="6" spans="1:7" ht="12.75" customHeight="1">
      <c r="D6" s="129"/>
      <c r="E6" s="129"/>
      <c r="F6" s="129"/>
      <c r="G6" s="77"/>
    </row>
    <row r="7" spans="1:7" ht="12.75" customHeight="1">
      <c r="D7" s="129"/>
      <c r="E7" s="129"/>
      <c r="F7" s="129"/>
      <c r="G7" s="77"/>
    </row>
    <row r="8" spans="1:7" ht="12.75" customHeight="1">
      <c r="D8" s="129"/>
      <c r="E8" s="129"/>
      <c r="F8" s="129"/>
      <c r="G8" s="77"/>
    </row>
    <row r="9" spans="1:7" ht="21" customHeight="1">
      <c r="D9" s="129"/>
      <c r="E9" s="129"/>
      <c r="F9" s="129"/>
      <c r="G9" s="77"/>
    </row>
    <row r="10" spans="1:7" ht="8.25" customHeight="1">
      <c r="D10" s="77"/>
      <c r="E10" s="77"/>
      <c r="F10" s="77"/>
      <c r="G10" s="77"/>
    </row>
    <row r="11" spans="1:7" ht="36" customHeight="1">
      <c r="A11" s="128" t="s">
        <v>261</v>
      </c>
      <c r="B11" s="128"/>
      <c r="C11" s="128"/>
      <c r="D11" s="128"/>
      <c r="E11" s="128"/>
      <c r="F11" s="128"/>
      <c r="G11" s="34"/>
    </row>
    <row r="12" spans="1:7">
      <c r="E12" s="14"/>
      <c r="G12" s="12" t="s">
        <v>262</v>
      </c>
    </row>
    <row r="13" spans="1:7">
      <c r="A13" s="121" t="s">
        <v>36</v>
      </c>
      <c r="B13" s="121" t="s">
        <v>0</v>
      </c>
      <c r="C13" s="78" t="s">
        <v>1</v>
      </c>
      <c r="D13" s="78" t="s">
        <v>2</v>
      </c>
      <c r="E13" s="118" t="s">
        <v>44</v>
      </c>
      <c r="F13" s="118" t="s">
        <v>4</v>
      </c>
      <c r="G13" s="118"/>
    </row>
    <row r="14" spans="1:7" ht="60" customHeight="1">
      <c r="A14" s="121"/>
      <c r="B14" s="121"/>
      <c r="C14" s="80"/>
      <c r="D14" s="80"/>
      <c r="E14" s="118"/>
      <c r="F14" s="46" t="s">
        <v>37</v>
      </c>
      <c r="G14" s="47" t="s">
        <v>6</v>
      </c>
    </row>
    <row r="15" spans="1:7" ht="12.75" customHeight="1">
      <c r="A15" s="78" t="s">
        <v>38</v>
      </c>
      <c r="B15" s="89" t="s">
        <v>70</v>
      </c>
      <c r="C15" s="53" t="s">
        <v>71</v>
      </c>
      <c r="D15" s="78" t="s">
        <v>39</v>
      </c>
      <c r="E15" s="95">
        <f>F15+G15</f>
        <v>2748095.7090000003</v>
      </c>
      <c r="F15" s="95"/>
      <c r="G15" s="92">
        <f>84660+2696735+2696735*0.0214-5.13-91004.29</f>
        <v>2748095.7090000003</v>
      </c>
    </row>
    <row r="16" spans="1:7">
      <c r="A16" s="79"/>
      <c r="B16" s="91"/>
      <c r="C16" s="53" t="s">
        <v>141</v>
      </c>
      <c r="D16" s="79"/>
      <c r="E16" s="97"/>
      <c r="F16" s="97"/>
      <c r="G16" s="94"/>
    </row>
    <row r="17" spans="1:7">
      <c r="A17" s="79"/>
      <c r="B17" s="89" t="s">
        <v>69</v>
      </c>
      <c r="C17" s="53" t="s">
        <v>52</v>
      </c>
      <c r="D17" s="79"/>
      <c r="E17" s="95">
        <f t="shared" ref="E17:E110" si="0">F17+G17</f>
        <v>4847377.4399999995</v>
      </c>
      <c r="F17" s="95"/>
      <c r="G17" s="92">
        <f>67390+2124000+13731.44+30000+30400+2515956+15900+50000</f>
        <v>4847377.4399999995</v>
      </c>
    </row>
    <row r="18" spans="1:7" ht="25.5">
      <c r="A18" s="79"/>
      <c r="B18" s="90"/>
      <c r="C18" s="59" t="s">
        <v>169</v>
      </c>
      <c r="D18" s="79"/>
      <c r="E18" s="96"/>
      <c r="F18" s="96"/>
      <c r="G18" s="93"/>
    </row>
    <row r="19" spans="1:7">
      <c r="A19" s="79"/>
      <c r="B19" s="90"/>
      <c r="C19" s="59" t="s">
        <v>131</v>
      </c>
      <c r="D19" s="79"/>
      <c r="E19" s="96"/>
      <c r="F19" s="96"/>
      <c r="G19" s="93"/>
    </row>
    <row r="20" spans="1:7">
      <c r="A20" s="79"/>
      <c r="B20" s="90"/>
      <c r="C20" s="59" t="s">
        <v>193</v>
      </c>
      <c r="D20" s="79"/>
      <c r="E20" s="96"/>
      <c r="F20" s="96"/>
      <c r="G20" s="93"/>
    </row>
    <row r="21" spans="1:7">
      <c r="A21" s="79"/>
      <c r="B21" s="91"/>
      <c r="C21" s="53" t="s">
        <v>170</v>
      </c>
      <c r="D21" s="79"/>
      <c r="E21" s="97"/>
      <c r="F21" s="97"/>
      <c r="G21" s="94"/>
    </row>
    <row r="22" spans="1:7">
      <c r="A22" s="79"/>
      <c r="B22" s="59" t="s">
        <v>139</v>
      </c>
      <c r="C22" s="53" t="s">
        <v>133</v>
      </c>
      <c r="D22" s="79"/>
      <c r="E22" s="46">
        <f t="shared" si="0"/>
        <v>1093251.6499999999</v>
      </c>
      <c r="F22" s="46"/>
      <c r="G22" s="47">
        <f>698652.9+394598.75</f>
        <v>1093251.6499999999</v>
      </c>
    </row>
    <row r="23" spans="1:7">
      <c r="A23" s="79"/>
      <c r="B23" s="55" t="s">
        <v>145</v>
      </c>
      <c r="C23" s="53" t="s">
        <v>247</v>
      </c>
      <c r="D23" s="79"/>
      <c r="E23" s="95">
        <f t="shared" si="0"/>
        <v>1265456.3599999999</v>
      </c>
      <c r="F23" s="95"/>
      <c r="G23" s="92">
        <f>542110+295220+169963.18+88200+169963.18</f>
        <v>1265456.3599999999</v>
      </c>
    </row>
    <row r="24" spans="1:7">
      <c r="A24" s="79"/>
      <c r="B24" s="55"/>
      <c r="C24" s="53" t="s">
        <v>255</v>
      </c>
      <c r="D24" s="79"/>
      <c r="E24" s="97"/>
      <c r="F24" s="97"/>
      <c r="G24" s="94"/>
    </row>
    <row r="25" spans="1:7">
      <c r="A25" s="79"/>
      <c r="B25" s="89" t="s">
        <v>67</v>
      </c>
      <c r="C25" s="53" t="s">
        <v>68</v>
      </c>
      <c r="D25" s="79"/>
      <c r="E25" s="95">
        <f t="shared" si="0"/>
        <v>2977182.1</v>
      </c>
      <c r="F25" s="95"/>
      <c r="G25" s="92">
        <v>2977182.1</v>
      </c>
    </row>
    <row r="26" spans="1:7">
      <c r="A26" s="79"/>
      <c r="B26" s="90"/>
      <c r="C26" s="53" t="s">
        <v>141</v>
      </c>
      <c r="D26" s="79"/>
      <c r="E26" s="96"/>
      <c r="F26" s="96"/>
      <c r="G26" s="93"/>
    </row>
    <row r="27" spans="1:7">
      <c r="A27" s="79"/>
      <c r="B27" s="90"/>
      <c r="C27" s="53" t="s">
        <v>188</v>
      </c>
      <c r="D27" s="79"/>
      <c r="E27" s="96"/>
      <c r="F27" s="96"/>
      <c r="G27" s="93"/>
    </row>
    <row r="28" spans="1:7">
      <c r="A28" s="79"/>
      <c r="B28" s="90"/>
      <c r="C28" s="65" t="s">
        <v>131</v>
      </c>
      <c r="D28" s="79"/>
      <c r="E28" s="96"/>
      <c r="F28" s="96"/>
      <c r="G28" s="93"/>
    </row>
    <row r="29" spans="1:7">
      <c r="A29" s="79"/>
      <c r="B29" s="90"/>
      <c r="C29" s="65" t="s">
        <v>86</v>
      </c>
      <c r="D29" s="79"/>
      <c r="E29" s="96"/>
      <c r="F29" s="96"/>
      <c r="G29" s="93"/>
    </row>
    <row r="30" spans="1:7">
      <c r="A30" s="79"/>
      <c r="B30" s="91"/>
      <c r="C30" s="53" t="s">
        <v>143</v>
      </c>
      <c r="D30" s="79"/>
      <c r="E30" s="97"/>
      <c r="F30" s="97"/>
      <c r="G30" s="94"/>
    </row>
    <row r="31" spans="1:7">
      <c r="A31" s="79"/>
      <c r="B31" s="89" t="s">
        <v>72</v>
      </c>
      <c r="C31" s="53" t="s">
        <v>52</v>
      </c>
      <c r="D31" s="79"/>
      <c r="E31" s="95">
        <f t="shared" si="0"/>
        <v>716100.53</v>
      </c>
      <c r="F31" s="95"/>
      <c r="G31" s="92">
        <f>90000+110454+262926.53+252720</f>
        <v>716100.53</v>
      </c>
    </row>
    <row r="32" spans="1:7">
      <c r="A32" s="79"/>
      <c r="B32" s="90"/>
      <c r="C32" s="75" t="s">
        <v>241</v>
      </c>
      <c r="D32" s="79"/>
      <c r="E32" s="96"/>
      <c r="F32" s="96"/>
      <c r="G32" s="93"/>
    </row>
    <row r="33" spans="1:7">
      <c r="A33" s="79"/>
      <c r="B33" s="91"/>
      <c r="C33" s="53" t="s">
        <v>73</v>
      </c>
      <c r="D33" s="79"/>
      <c r="E33" s="97">
        <f t="shared" si="0"/>
        <v>0</v>
      </c>
      <c r="F33" s="97"/>
      <c r="G33" s="94"/>
    </row>
    <row r="34" spans="1:7">
      <c r="A34" s="79"/>
      <c r="B34" s="59" t="s">
        <v>129</v>
      </c>
      <c r="C34" s="53" t="s">
        <v>216</v>
      </c>
      <c r="D34" s="79"/>
      <c r="E34" s="42">
        <f t="shared" si="0"/>
        <v>600244.37</v>
      </c>
      <c r="F34" s="42"/>
      <c r="G34" s="44">
        <f>413713.19+186531.18</f>
        <v>600244.37</v>
      </c>
    </row>
    <row r="35" spans="1:7">
      <c r="A35" s="79"/>
      <c r="B35" s="89" t="s">
        <v>74</v>
      </c>
      <c r="C35" s="53" t="s">
        <v>52</v>
      </c>
      <c r="D35" s="79"/>
      <c r="E35" s="95">
        <f>G35</f>
        <v>6725900.7502000006</v>
      </c>
      <c r="F35" s="95"/>
      <c r="G35" s="92">
        <f>7290643+77904.95+7290643*0.0214-67.71-646725+50000-201874.25</f>
        <v>6725900.7502000006</v>
      </c>
    </row>
    <row r="36" spans="1:7">
      <c r="A36" s="79"/>
      <c r="B36" s="91"/>
      <c r="C36" s="53" t="s">
        <v>232</v>
      </c>
      <c r="D36" s="79"/>
      <c r="E36" s="97"/>
      <c r="F36" s="97"/>
      <c r="G36" s="94"/>
    </row>
    <row r="37" spans="1:7">
      <c r="A37" s="79"/>
      <c r="B37" s="69" t="s">
        <v>190</v>
      </c>
      <c r="C37" s="53" t="s">
        <v>191</v>
      </c>
      <c r="D37" s="79"/>
      <c r="E37" s="62">
        <f>G37</f>
        <v>398241.26</v>
      </c>
      <c r="F37" s="49"/>
      <c r="G37" s="54">
        <v>398241.26</v>
      </c>
    </row>
    <row r="38" spans="1:7">
      <c r="A38" s="79"/>
      <c r="B38" s="67" t="s">
        <v>248</v>
      </c>
      <c r="C38" s="65" t="s">
        <v>163</v>
      </c>
      <c r="D38" s="79"/>
      <c r="E38" s="64">
        <f>G38</f>
        <v>967644.29</v>
      </c>
      <c r="F38" s="62"/>
      <c r="G38" s="63">
        <v>967644.29</v>
      </c>
    </row>
    <row r="39" spans="1:7">
      <c r="A39" s="79"/>
      <c r="B39" s="113" t="s">
        <v>75</v>
      </c>
      <c r="C39" s="53" t="s">
        <v>52</v>
      </c>
      <c r="D39" s="79"/>
      <c r="E39" s="95">
        <f t="shared" si="0"/>
        <v>7590630.6299999999</v>
      </c>
      <c r="F39" s="92"/>
      <c r="G39" s="92">
        <f>110000+304500+20000+2214000+4388560+323548.58+36908.16+60500+132613.89</f>
        <v>7590630.6299999999</v>
      </c>
    </row>
    <row r="40" spans="1:7">
      <c r="A40" s="79"/>
      <c r="B40" s="122"/>
      <c r="C40" s="53" t="s">
        <v>172</v>
      </c>
      <c r="D40" s="79"/>
      <c r="E40" s="96"/>
      <c r="F40" s="93"/>
      <c r="G40" s="93"/>
    </row>
    <row r="41" spans="1:7" ht="25.5">
      <c r="A41" s="79"/>
      <c r="B41" s="122"/>
      <c r="C41" s="53" t="s">
        <v>205</v>
      </c>
      <c r="D41" s="79"/>
      <c r="E41" s="96"/>
      <c r="F41" s="93"/>
      <c r="G41" s="93"/>
    </row>
    <row r="42" spans="1:7">
      <c r="A42" s="79"/>
      <c r="B42" s="122"/>
      <c r="C42" s="65" t="s">
        <v>242</v>
      </c>
      <c r="D42" s="79"/>
      <c r="E42" s="96"/>
      <c r="F42" s="93"/>
      <c r="G42" s="93"/>
    </row>
    <row r="43" spans="1:7">
      <c r="A43" s="79"/>
      <c r="B43" s="122"/>
      <c r="C43" s="53" t="s">
        <v>141</v>
      </c>
      <c r="D43" s="79"/>
      <c r="E43" s="96"/>
      <c r="F43" s="93"/>
      <c r="G43" s="93"/>
    </row>
    <row r="44" spans="1:7">
      <c r="A44" s="79"/>
      <c r="B44" s="114"/>
      <c r="C44" s="53" t="s">
        <v>192</v>
      </c>
      <c r="D44" s="79"/>
      <c r="E44" s="97">
        <f t="shared" si="0"/>
        <v>0</v>
      </c>
      <c r="F44" s="94"/>
      <c r="G44" s="94"/>
    </row>
    <row r="45" spans="1:7">
      <c r="A45" s="79"/>
      <c r="B45" s="89" t="s">
        <v>76</v>
      </c>
      <c r="C45" s="53" t="s">
        <v>52</v>
      </c>
      <c r="D45" s="79"/>
      <c r="E45" s="95">
        <f t="shared" si="0"/>
        <v>1860401.9500000002</v>
      </c>
      <c r="F45" s="95"/>
      <c r="G45" s="92">
        <f>182100+346569.09+1331732.86</f>
        <v>1860401.9500000002</v>
      </c>
    </row>
    <row r="46" spans="1:7" ht="25.5">
      <c r="A46" s="79"/>
      <c r="B46" s="90"/>
      <c r="C46" s="65" t="s">
        <v>227</v>
      </c>
      <c r="D46" s="79"/>
      <c r="E46" s="96"/>
      <c r="F46" s="96"/>
      <c r="G46" s="93"/>
    </row>
    <row r="47" spans="1:7">
      <c r="A47" s="79"/>
      <c r="B47" s="91"/>
      <c r="C47" s="53" t="s">
        <v>172</v>
      </c>
      <c r="D47" s="79"/>
      <c r="E47" s="97"/>
      <c r="F47" s="97"/>
      <c r="G47" s="94"/>
    </row>
    <row r="48" spans="1:7">
      <c r="A48" s="79"/>
      <c r="B48" s="89" t="s">
        <v>77</v>
      </c>
      <c r="C48" s="53" t="s">
        <v>172</v>
      </c>
      <c r="D48" s="79"/>
      <c r="E48" s="95">
        <f>G48</f>
        <v>979055.56</v>
      </c>
      <c r="F48" s="95"/>
      <c r="G48" s="92">
        <f>395055.92+328946.36+55853.28+199200</f>
        <v>979055.56</v>
      </c>
    </row>
    <row r="49" spans="1:7">
      <c r="A49" s="79"/>
      <c r="B49" s="90"/>
      <c r="C49" s="60" t="s">
        <v>109</v>
      </c>
      <c r="D49" s="79"/>
      <c r="E49" s="96"/>
      <c r="F49" s="96"/>
      <c r="G49" s="93"/>
    </row>
    <row r="50" spans="1:7" ht="18.75" customHeight="1">
      <c r="A50" s="79"/>
      <c r="B50" s="91"/>
      <c r="C50" s="53" t="s">
        <v>78</v>
      </c>
      <c r="D50" s="79"/>
      <c r="E50" s="97"/>
      <c r="F50" s="97"/>
      <c r="G50" s="94"/>
    </row>
    <row r="51" spans="1:7" ht="18.75" customHeight="1">
      <c r="A51" s="79"/>
      <c r="B51" s="67" t="s">
        <v>231</v>
      </c>
      <c r="C51" s="65" t="s">
        <v>230</v>
      </c>
      <c r="D51" s="79"/>
      <c r="E51" s="64">
        <f>G51</f>
        <v>758176.8</v>
      </c>
      <c r="F51" s="64"/>
      <c r="G51" s="66">
        <v>758176.8</v>
      </c>
    </row>
    <row r="52" spans="1:7">
      <c r="A52" s="79"/>
      <c r="B52" s="113" t="s">
        <v>48</v>
      </c>
      <c r="C52" s="53" t="s">
        <v>79</v>
      </c>
      <c r="D52" s="79"/>
      <c r="E52" s="95">
        <f t="shared" si="0"/>
        <v>261595.26</v>
      </c>
      <c r="F52" s="95"/>
      <c r="G52" s="92">
        <f>207200+54395.26</f>
        <v>261595.26</v>
      </c>
    </row>
    <row r="53" spans="1:7" ht="25.5">
      <c r="A53" s="79"/>
      <c r="B53" s="114"/>
      <c r="C53" s="53" t="s">
        <v>165</v>
      </c>
      <c r="D53" s="79"/>
      <c r="E53" s="97"/>
      <c r="F53" s="97"/>
      <c r="G53" s="94"/>
    </row>
    <row r="54" spans="1:7">
      <c r="A54" s="79"/>
      <c r="B54" s="113" t="s">
        <v>40</v>
      </c>
      <c r="C54" s="53" t="s">
        <v>46</v>
      </c>
      <c r="D54" s="79"/>
      <c r="E54" s="131">
        <f>F54+G54</f>
        <v>8118527.6600000001</v>
      </c>
      <c r="F54" s="115"/>
      <c r="G54" s="115">
        <f>4026050+80000+368000+136108.96+467818.42+3000161.59+30213+10175.69</f>
        <v>8118527.6600000001</v>
      </c>
    </row>
    <row r="55" spans="1:7">
      <c r="A55" s="79"/>
      <c r="B55" s="122"/>
      <c r="C55" s="75" t="s">
        <v>252</v>
      </c>
      <c r="D55" s="79"/>
      <c r="E55" s="132"/>
      <c r="F55" s="116"/>
      <c r="G55" s="116"/>
    </row>
    <row r="56" spans="1:7">
      <c r="A56" s="79"/>
      <c r="B56" s="122"/>
      <c r="C56" s="75" t="s">
        <v>254</v>
      </c>
      <c r="D56" s="79"/>
      <c r="E56" s="132"/>
      <c r="F56" s="116"/>
      <c r="G56" s="116"/>
    </row>
    <row r="57" spans="1:7">
      <c r="A57" s="79"/>
      <c r="B57" s="122"/>
      <c r="C57" s="75" t="s">
        <v>253</v>
      </c>
      <c r="D57" s="79"/>
      <c r="E57" s="132"/>
      <c r="F57" s="116"/>
      <c r="G57" s="116"/>
    </row>
    <row r="58" spans="1:7">
      <c r="A58" s="79"/>
      <c r="B58" s="122"/>
      <c r="C58" s="65" t="s">
        <v>236</v>
      </c>
      <c r="D58" s="79"/>
      <c r="E58" s="132"/>
      <c r="F58" s="116"/>
      <c r="G58" s="116"/>
    </row>
    <row r="59" spans="1:7">
      <c r="A59" s="79"/>
      <c r="B59" s="114"/>
      <c r="C59" s="53" t="s">
        <v>52</v>
      </c>
      <c r="D59" s="79"/>
      <c r="E59" s="133"/>
      <c r="F59" s="117"/>
      <c r="G59" s="117"/>
    </row>
    <row r="60" spans="1:7" ht="12.75" customHeight="1">
      <c r="A60" s="79"/>
      <c r="B60" s="89" t="s">
        <v>80</v>
      </c>
      <c r="C60" s="53" t="s">
        <v>100</v>
      </c>
      <c r="D60" s="79"/>
      <c r="E60" s="95">
        <f t="shared" si="0"/>
        <v>752106.9</v>
      </c>
      <c r="F60" s="95"/>
      <c r="G60" s="92">
        <f>78640+299381+374086-0.1</f>
        <v>752106.9</v>
      </c>
    </row>
    <row r="61" spans="1:7" ht="28.5" customHeight="1">
      <c r="A61" s="79"/>
      <c r="B61" s="91"/>
      <c r="C61" s="53" t="s">
        <v>243</v>
      </c>
      <c r="D61" s="79"/>
      <c r="E61" s="97"/>
      <c r="F61" s="97"/>
      <c r="G61" s="94"/>
    </row>
    <row r="62" spans="1:7">
      <c r="A62" s="79"/>
      <c r="B62" s="89" t="s">
        <v>81</v>
      </c>
      <c r="C62" s="53" t="s">
        <v>52</v>
      </c>
      <c r="D62" s="79"/>
      <c r="E62" s="95">
        <f t="shared" si="0"/>
        <v>121698.77</v>
      </c>
      <c r="F62" s="92"/>
      <c r="G62" s="92">
        <v>121698.77</v>
      </c>
    </row>
    <row r="63" spans="1:7">
      <c r="A63" s="79"/>
      <c r="B63" s="91"/>
      <c r="C63" s="53" t="s">
        <v>82</v>
      </c>
      <c r="D63" s="79"/>
      <c r="E63" s="97">
        <f t="shared" si="0"/>
        <v>0</v>
      </c>
      <c r="F63" s="94"/>
      <c r="G63" s="94"/>
    </row>
    <row r="64" spans="1:7">
      <c r="A64" s="79"/>
      <c r="B64" s="89" t="s">
        <v>83</v>
      </c>
      <c r="C64" s="53" t="s">
        <v>52</v>
      </c>
      <c r="D64" s="79"/>
      <c r="E64" s="95">
        <f t="shared" si="0"/>
        <v>2261116.4500000002</v>
      </c>
      <c r="F64" s="95"/>
      <c r="G64" s="92">
        <f>113700+442888.36+772347.33+132180.76+800000</f>
        <v>2261116.4500000002</v>
      </c>
    </row>
    <row r="65" spans="1:7">
      <c r="A65" s="79"/>
      <c r="B65" s="90"/>
      <c r="C65" s="53" t="s">
        <v>194</v>
      </c>
      <c r="D65" s="79"/>
      <c r="E65" s="96"/>
      <c r="F65" s="96"/>
      <c r="G65" s="93"/>
    </row>
    <row r="66" spans="1:7">
      <c r="A66" s="79"/>
      <c r="B66" s="90"/>
      <c r="C66" s="65" t="s">
        <v>230</v>
      </c>
      <c r="D66" s="79"/>
      <c r="E66" s="96"/>
      <c r="F66" s="96"/>
      <c r="G66" s="93"/>
    </row>
    <row r="67" spans="1:7">
      <c r="A67" s="79"/>
      <c r="B67" s="91"/>
      <c r="C67" s="53" t="s">
        <v>201</v>
      </c>
      <c r="D67" s="79"/>
      <c r="E67" s="97"/>
      <c r="F67" s="97"/>
      <c r="G67" s="94"/>
    </row>
    <row r="68" spans="1:7">
      <c r="A68" s="79"/>
      <c r="B68" s="89" t="s">
        <v>84</v>
      </c>
      <c r="C68" s="53" t="s">
        <v>73</v>
      </c>
      <c r="D68" s="79"/>
      <c r="E68" s="95">
        <f t="shared" si="0"/>
        <v>462720.39</v>
      </c>
      <c r="F68" s="95"/>
      <c r="G68" s="92">
        <f>168000+297720.49-3000.1</f>
        <v>462720.39</v>
      </c>
    </row>
    <row r="69" spans="1:7">
      <c r="A69" s="79"/>
      <c r="B69" s="90"/>
      <c r="C69" s="53" t="s">
        <v>195</v>
      </c>
      <c r="D69" s="79"/>
      <c r="E69" s="96"/>
      <c r="F69" s="96"/>
      <c r="G69" s="93"/>
    </row>
    <row r="70" spans="1:7">
      <c r="A70" s="79"/>
      <c r="B70" s="91"/>
      <c r="C70" s="53" t="s">
        <v>140</v>
      </c>
      <c r="D70" s="79"/>
      <c r="E70" s="97"/>
      <c r="F70" s="97"/>
      <c r="G70" s="94"/>
    </row>
    <row r="71" spans="1:7">
      <c r="A71" s="79"/>
      <c r="B71" s="89" t="s">
        <v>85</v>
      </c>
      <c r="C71" s="53" t="s">
        <v>73</v>
      </c>
      <c r="D71" s="79"/>
      <c r="E71" s="95">
        <f t="shared" si="0"/>
        <v>5141823.3</v>
      </c>
      <c r="F71" s="92"/>
      <c r="G71" s="115">
        <f>117000+2163800+2861023.3</f>
        <v>5141823.3</v>
      </c>
    </row>
    <row r="72" spans="1:7">
      <c r="A72" s="79"/>
      <c r="B72" s="90"/>
      <c r="C72" s="53" t="s">
        <v>204</v>
      </c>
      <c r="D72" s="79"/>
      <c r="E72" s="96"/>
      <c r="F72" s="93"/>
      <c r="G72" s="116"/>
    </row>
    <row r="73" spans="1:7" ht="25.5">
      <c r="A73" s="79"/>
      <c r="B73" s="90"/>
      <c r="C73" s="65" t="s">
        <v>227</v>
      </c>
      <c r="D73" s="79"/>
      <c r="E73" s="96"/>
      <c r="F73" s="93"/>
      <c r="G73" s="116"/>
    </row>
    <row r="74" spans="1:7">
      <c r="A74" s="79"/>
      <c r="B74" s="91"/>
      <c r="C74" s="53" t="s">
        <v>86</v>
      </c>
      <c r="D74" s="79"/>
      <c r="E74" s="97"/>
      <c r="F74" s="94"/>
      <c r="G74" s="117"/>
    </row>
    <row r="75" spans="1:7" ht="25.5">
      <c r="A75" s="79"/>
      <c r="B75" s="40" t="s">
        <v>87</v>
      </c>
      <c r="C75" s="53" t="s">
        <v>235</v>
      </c>
      <c r="D75" s="79"/>
      <c r="E75" s="46">
        <f t="shared" si="0"/>
        <v>122520.16</v>
      </c>
      <c r="F75" s="46"/>
      <c r="G75" s="44">
        <f>77300+45220.16</f>
        <v>122520.16</v>
      </c>
    </row>
    <row r="76" spans="1:7">
      <c r="A76" s="79"/>
      <c r="B76" s="89" t="s">
        <v>58</v>
      </c>
      <c r="C76" s="53" t="s">
        <v>132</v>
      </c>
      <c r="D76" s="79"/>
      <c r="E76" s="92">
        <f t="shared" si="0"/>
        <v>3707386.87</v>
      </c>
      <c r="F76" s="95"/>
      <c r="G76" s="92">
        <f>247294.39+56521.82-270+3403840.66</f>
        <v>3707386.87</v>
      </c>
    </row>
    <row r="77" spans="1:7" ht="25.5">
      <c r="A77" s="79"/>
      <c r="B77" s="91"/>
      <c r="C77" s="65" t="s">
        <v>227</v>
      </c>
      <c r="D77" s="79"/>
      <c r="E77" s="94"/>
      <c r="F77" s="97"/>
      <c r="G77" s="94"/>
    </row>
    <row r="78" spans="1:7">
      <c r="A78" s="79"/>
      <c r="B78" s="89" t="s">
        <v>105</v>
      </c>
      <c r="C78" s="53" t="s">
        <v>106</v>
      </c>
      <c r="D78" s="79"/>
      <c r="E78" s="95">
        <f t="shared" si="0"/>
        <v>2887907.2199999997</v>
      </c>
      <c r="F78" s="95"/>
      <c r="G78" s="92">
        <f>1204683.22+183224+921637.2+578362.8</f>
        <v>2887907.2199999997</v>
      </c>
    </row>
    <row r="79" spans="1:7">
      <c r="A79" s="79"/>
      <c r="B79" s="90"/>
      <c r="C79" s="53" t="s">
        <v>52</v>
      </c>
      <c r="D79" s="79"/>
      <c r="E79" s="96"/>
      <c r="F79" s="96"/>
      <c r="G79" s="93"/>
    </row>
    <row r="80" spans="1:7">
      <c r="A80" s="79"/>
      <c r="B80" s="90"/>
      <c r="C80" s="53" t="s">
        <v>159</v>
      </c>
      <c r="D80" s="79"/>
      <c r="E80" s="96"/>
      <c r="F80" s="96"/>
      <c r="G80" s="93"/>
    </row>
    <row r="81" spans="1:7">
      <c r="A81" s="79"/>
      <c r="B81" s="90"/>
      <c r="C81" s="65" t="s">
        <v>230</v>
      </c>
      <c r="D81" s="79"/>
      <c r="E81" s="96"/>
      <c r="F81" s="96"/>
      <c r="G81" s="93"/>
    </row>
    <row r="82" spans="1:7">
      <c r="A82" s="79"/>
      <c r="B82" s="90"/>
      <c r="C82" s="65" t="s">
        <v>229</v>
      </c>
      <c r="D82" s="79"/>
      <c r="E82" s="96"/>
      <c r="F82" s="96"/>
      <c r="G82" s="93"/>
    </row>
    <row r="83" spans="1:7">
      <c r="A83" s="79"/>
      <c r="B83" s="91"/>
      <c r="C83" s="53" t="s">
        <v>142</v>
      </c>
      <c r="D83" s="79"/>
      <c r="E83" s="97"/>
      <c r="F83" s="97"/>
      <c r="G83" s="94"/>
    </row>
    <row r="84" spans="1:7" ht="38.25">
      <c r="A84" s="79"/>
      <c r="B84" s="40" t="s">
        <v>127</v>
      </c>
      <c r="C84" s="53" t="s">
        <v>246</v>
      </c>
      <c r="D84" s="79"/>
      <c r="E84" s="46">
        <f t="shared" si="0"/>
        <v>174798.72</v>
      </c>
      <c r="F84" s="42"/>
      <c r="G84" s="44">
        <f>111498.72+39520.31+63300-39520.31</f>
        <v>174798.72</v>
      </c>
    </row>
    <row r="85" spans="1:7">
      <c r="A85" s="79"/>
      <c r="B85" s="40" t="s">
        <v>175</v>
      </c>
      <c r="C85" s="53" t="s">
        <v>172</v>
      </c>
      <c r="D85" s="79"/>
      <c r="E85" s="46">
        <f t="shared" si="0"/>
        <v>378556</v>
      </c>
      <c r="F85" s="46"/>
      <c r="G85" s="44">
        <v>378556</v>
      </c>
    </row>
    <row r="86" spans="1:7">
      <c r="A86" s="79"/>
      <c r="B86" s="40" t="s">
        <v>179</v>
      </c>
      <c r="C86" s="53" t="s">
        <v>52</v>
      </c>
      <c r="D86" s="79"/>
      <c r="E86" s="46">
        <f t="shared" si="0"/>
        <v>98400</v>
      </c>
      <c r="F86" s="46"/>
      <c r="G86" s="44">
        <v>98400</v>
      </c>
    </row>
    <row r="87" spans="1:7">
      <c r="A87" s="79"/>
      <c r="B87" s="89" t="s">
        <v>200</v>
      </c>
      <c r="C87" s="53" t="s">
        <v>172</v>
      </c>
      <c r="D87" s="79"/>
      <c r="E87" s="95">
        <f t="shared" si="0"/>
        <v>1943154.0499999998</v>
      </c>
      <c r="F87" s="95"/>
      <c r="G87" s="92">
        <f>294077.98+278112.61+710740+210432.18+116042.1+100000+210432.18+23317</f>
        <v>1943154.0499999998</v>
      </c>
    </row>
    <row r="88" spans="1:7">
      <c r="A88" s="79"/>
      <c r="B88" s="90"/>
      <c r="C88" s="65" t="s">
        <v>52</v>
      </c>
      <c r="D88" s="79"/>
      <c r="E88" s="96"/>
      <c r="F88" s="96"/>
      <c r="G88" s="93"/>
    </row>
    <row r="89" spans="1:7">
      <c r="A89" s="79"/>
      <c r="B89" s="90"/>
      <c r="C89" s="75" t="s">
        <v>257</v>
      </c>
      <c r="D89" s="79"/>
      <c r="E89" s="96"/>
      <c r="F89" s="96"/>
      <c r="G89" s="93"/>
    </row>
    <row r="90" spans="1:7">
      <c r="A90" s="79"/>
      <c r="B90" s="90"/>
      <c r="C90" s="65" t="s">
        <v>239</v>
      </c>
      <c r="D90" s="79"/>
      <c r="E90" s="96"/>
      <c r="F90" s="96"/>
      <c r="G90" s="93"/>
    </row>
    <row r="91" spans="1:7" ht="25.5">
      <c r="A91" s="79"/>
      <c r="B91" s="91"/>
      <c r="C91" s="53" t="s">
        <v>256</v>
      </c>
      <c r="D91" s="79"/>
      <c r="E91" s="97"/>
      <c r="F91" s="97"/>
      <c r="G91" s="94"/>
    </row>
    <row r="92" spans="1:7" ht="25.5">
      <c r="A92" s="79"/>
      <c r="B92" s="40" t="s">
        <v>206</v>
      </c>
      <c r="C92" s="53" t="s">
        <v>244</v>
      </c>
      <c r="D92" s="79"/>
      <c r="E92" s="46">
        <f>G92</f>
        <v>1930514.58</v>
      </c>
      <c r="F92" s="46"/>
      <c r="G92" s="47">
        <f>550100+1380414.58</f>
        <v>1930514.58</v>
      </c>
    </row>
    <row r="93" spans="1:7">
      <c r="A93" s="79"/>
      <c r="B93" s="89" t="s">
        <v>174</v>
      </c>
      <c r="C93" s="53" t="str">
        <f>C113</f>
        <v>Монтаж узла учета</v>
      </c>
      <c r="D93" s="79"/>
      <c r="E93" s="95">
        <f t="shared" si="0"/>
        <v>401872.06</v>
      </c>
      <c r="F93" s="95"/>
      <c r="G93" s="92">
        <f>296739.19+105132.87</f>
        <v>401872.06</v>
      </c>
    </row>
    <row r="94" spans="1:7">
      <c r="A94" s="79"/>
      <c r="B94" s="91"/>
      <c r="C94" s="53" t="s">
        <v>52</v>
      </c>
      <c r="D94" s="79"/>
      <c r="E94" s="97"/>
      <c r="F94" s="97"/>
      <c r="G94" s="94"/>
    </row>
    <row r="95" spans="1:7">
      <c r="A95" s="79"/>
      <c r="B95" s="76" t="s">
        <v>88</v>
      </c>
      <c r="C95" s="53" t="s">
        <v>52</v>
      </c>
      <c r="D95" s="79"/>
      <c r="E95" s="41">
        <f t="shared" si="0"/>
        <v>306585.03999999998</v>
      </c>
      <c r="F95" s="41"/>
      <c r="G95" s="43">
        <f>102185.04+204400</f>
        <v>306585.03999999998</v>
      </c>
    </row>
    <row r="96" spans="1:7">
      <c r="A96" s="79"/>
      <c r="B96" s="90" t="s">
        <v>180</v>
      </c>
      <c r="C96" s="53" t="s">
        <v>52</v>
      </c>
      <c r="D96" s="79"/>
      <c r="E96" s="92">
        <f t="shared" si="0"/>
        <v>2204877.6799999997</v>
      </c>
      <c r="F96" s="95"/>
      <c r="G96" s="92">
        <f>250000+1954877.68</f>
        <v>2204877.6799999997</v>
      </c>
    </row>
    <row r="97" spans="1:7" ht="25.5">
      <c r="A97" s="79"/>
      <c r="B97" s="91"/>
      <c r="C97" s="65" t="s">
        <v>227</v>
      </c>
      <c r="D97" s="79"/>
      <c r="E97" s="94"/>
      <c r="F97" s="97"/>
      <c r="G97" s="94"/>
    </row>
    <row r="98" spans="1:7">
      <c r="A98" s="79"/>
      <c r="B98" s="89" t="s">
        <v>90</v>
      </c>
      <c r="C98" s="53" t="s">
        <v>52</v>
      </c>
      <c r="D98" s="79"/>
      <c r="E98" s="118">
        <f t="shared" si="0"/>
        <v>360827.38</v>
      </c>
      <c r="F98" s="118"/>
      <c r="G98" s="119">
        <f>34911.34+244430.2+81485.84</f>
        <v>360827.38</v>
      </c>
    </row>
    <row r="99" spans="1:7">
      <c r="A99" s="79"/>
      <c r="B99" s="91"/>
      <c r="C99" s="53" t="s">
        <v>163</v>
      </c>
      <c r="D99" s="79"/>
      <c r="E99" s="118"/>
      <c r="F99" s="118"/>
      <c r="G99" s="119"/>
    </row>
    <row r="100" spans="1:7">
      <c r="A100" s="79"/>
      <c r="B100" s="89" t="s">
        <v>107</v>
      </c>
      <c r="C100" s="53" t="s">
        <v>52</v>
      </c>
      <c r="D100" s="79"/>
      <c r="E100" s="118">
        <f t="shared" si="0"/>
        <v>644782.59</v>
      </c>
      <c r="F100" s="118"/>
      <c r="G100" s="119">
        <v>644782.59</v>
      </c>
    </row>
    <row r="101" spans="1:7">
      <c r="A101" s="79"/>
      <c r="B101" s="90"/>
      <c r="C101" s="53" t="s">
        <v>221</v>
      </c>
      <c r="D101" s="79"/>
      <c r="E101" s="118"/>
      <c r="F101" s="118"/>
      <c r="G101" s="119"/>
    </row>
    <row r="102" spans="1:7">
      <c r="A102" s="79"/>
      <c r="B102" s="91"/>
      <c r="C102" s="53" t="s">
        <v>201</v>
      </c>
      <c r="D102" s="79"/>
      <c r="E102" s="118"/>
      <c r="F102" s="118"/>
      <c r="G102" s="119"/>
    </row>
    <row r="103" spans="1:7" ht="25.5">
      <c r="A103" s="79"/>
      <c r="B103" s="89" t="s">
        <v>185</v>
      </c>
      <c r="C103" s="65" t="s">
        <v>227</v>
      </c>
      <c r="D103" s="79"/>
      <c r="E103" s="92">
        <f t="shared" si="0"/>
        <v>6518636.7399999993</v>
      </c>
      <c r="F103" s="95"/>
      <c r="G103" s="92">
        <f>6389375.68+129261.06</f>
        <v>6518636.7399999993</v>
      </c>
    </row>
    <row r="104" spans="1:7">
      <c r="A104" s="79"/>
      <c r="B104" s="91"/>
      <c r="C104" s="65" t="s">
        <v>142</v>
      </c>
      <c r="D104" s="79"/>
      <c r="E104" s="94"/>
      <c r="F104" s="97"/>
      <c r="G104" s="94"/>
    </row>
    <row r="105" spans="1:7">
      <c r="A105" s="79"/>
      <c r="B105" s="89" t="s">
        <v>59</v>
      </c>
      <c r="C105" s="53" t="s">
        <v>195</v>
      </c>
      <c r="D105" s="79"/>
      <c r="E105" s="92">
        <f t="shared" si="0"/>
        <v>366660.11</v>
      </c>
      <c r="F105" s="95"/>
      <c r="G105" s="92">
        <f>268000+59139.8+39520.31</f>
        <v>366660.11</v>
      </c>
    </row>
    <row r="106" spans="1:7">
      <c r="A106" s="79"/>
      <c r="B106" s="90"/>
      <c r="C106" s="65" t="s">
        <v>240</v>
      </c>
      <c r="D106" s="79"/>
      <c r="E106" s="93"/>
      <c r="F106" s="96"/>
      <c r="G106" s="93"/>
    </row>
    <row r="107" spans="1:7">
      <c r="A107" s="79"/>
      <c r="B107" s="91"/>
      <c r="C107" s="65" t="s">
        <v>131</v>
      </c>
      <c r="D107" s="79"/>
      <c r="E107" s="94"/>
      <c r="F107" s="97"/>
      <c r="G107" s="94"/>
    </row>
    <row r="108" spans="1:7" ht="25.5">
      <c r="A108" s="79"/>
      <c r="B108" s="40" t="s">
        <v>135</v>
      </c>
      <c r="C108" s="53" t="s">
        <v>209</v>
      </c>
      <c r="D108" s="79"/>
      <c r="E108" s="46">
        <f>G108</f>
        <v>278354.32000000007</v>
      </c>
      <c r="F108" s="46"/>
      <c r="G108" s="39">
        <f>102438.05+76367.78+26070.27+76367.78+175916.27-178805.83</f>
        <v>278354.32000000007</v>
      </c>
    </row>
    <row r="109" spans="1:7" ht="25.5">
      <c r="A109" s="79"/>
      <c r="B109" s="40" t="s">
        <v>171</v>
      </c>
      <c r="C109" s="53" t="s">
        <v>237</v>
      </c>
      <c r="D109" s="79"/>
      <c r="E109" s="46">
        <f t="shared" si="0"/>
        <v>375700</v>
      </c>
      <c r="F109" s="46"/>
      <c r="G109" s="47">
        <f>47100-15900+51000+293500</f>
        <v>375700</v>
      </c>
    </row>
    <row r="110" spans="1:7" ht="25.5">
      <c r="A110" s="79"/>
      <c r="B110" s="89" t="s">
        <v>176</v>
      </c>
      <c r="C110" s="53" t="s">
        <v>177</v>
      </c>
      <c r="D110" s="79"/>
      <c r="E110" s="95">
        <f t="shared" si="0"/>
        <v>738571.03</v>
      </c>
      <c r="F110" s="95"/>
      <c r="G110" s="92">
        <f>279680+458891.03</f>
        <v>738571.03</v>
      </c>
    </row>
    <row r="111" spans="1:7" ht="25.5">
      <c r="A111" s="79"/>
      <c r="B111" s="91"/>
      <c r="C111" s="65" t="s">
        <v>227</v>
      </c>
      <c r="D111" s="79"/>
      <c r="E111" s="97"/>
      <c r="F111" s="97"/>
      <c r="G111" s="94"/>
    </row>
    <row r="112" spans="1:7">
      <c r="A112" s="79"/>
      <c r="B112" s="89" t="s">
        <v>89</v>
      </c>
      <c r="C112" s="53" t="s">
        <v>52</v>
      </c>
      <c r="D112" s="79"/>
      <c r="E112" s="95">
        <f>G112</f>
        <v>1019081.73</v>
      </c>
      <c r="F112" s="95"/>
      <c r="G112" s="92">
        <f>444592+80400+174412.26+352786.87+38890.6-72000</f>
        <v>1019081.73</v>
      </c>
    </row>
    <row r="113" spans="1:8">
      <c r="A113" s="79"/>
      <c r="B113" s="90"/>
      <c r="C113" s="53" t="s">
        <v>201</v>
      </c>
      <c r="D113" s="79"/>
      <c r="E113" s="96"/>
      <c r="F113" s="96"/>
      <c r="G113" s="93"/>
    </row>
    <row r="114" spans="1:8">
      <c r="A114" s="79"/>
      <c r="B114" s="90"/>
      <c r="C114" s="53" t="s">
        <v>238</v>
      </c>
      <c r="D114" s="79"/>
      <c r="E114" s="96"/>
      <c r="F114" s="96"/>
      <c r="G114" s="93"/>
    </row>
    <row r="115" spans="1:8" ht="25.5">
      <c r="A115" s="79"/>
      <c r="B115" s="91"/>
      <c r="C115" s="65" t="s">
        <v>227</v>
      </c>
      <c r="D115" s="80"/>
      <c r="E115" s="97"/>
      <c r="F115" s="97"/>
      <c r="G115" s="94"/>
    </row>
    <row r="116" spans="1:8" ht="114.75">
      <c r="A116" s="79"/>
      <c r="B116" s="59" t="s">
        <v>48</v>
      </c>
      <c r="C116" s="53" t="s">
        <v>49</v>
      </c>
      <c r="D116" s="52" t="s">
        <v>50</v>
      </c>
      <c r="E116" s="47">
        <f>F116+G116</f>
        <v>1280300</v>
      </c>
      <c r="F116" s="46">
        <f>1436400-50000-156100</f>
        <v>1230300</v>
      </c>
      <c r="G116" s="47">
        <v>50000</v>
      </c>
    </row>
    <row r="117" spans="1:8">
      <c r="A117" s="79"/>
      <c r="B117" s="123" t="s">
        <v>35</v>
      </c>
      <c r="C117" s="124"/>
      <c r="D117" s="125"/>
      <c r="E117" s="13">
        <f>SUM(E15:E116)</f>
        <v>76386834.409199983</v>
      </c>
      <c r="F117" s="13">
        <f>SUM(F15:F116)</f>
        <v>1230300</v>
      </c>
      <c r="G117" s="13">
        <f>SUM(G15:G116)</f>
        <v>75156534.409199983</v>
      </c>
      <c r="H117" s="22"/>
    </row>
    <row r="118" spans="1:8">
      <c r="A118" s="80"/>
      <c r="B118" s="120" t="s">
        <v>41</v>
      </c>
      <c r="C118" s="120"/>
      <c r="D118" s="120"/>
      <c r="E118" s="13">
        <f>E52</f>
        <v>261595.26</v>
      </c>
      <c r="F118" s="13">
        <f>F52</f>
        <v>0</v>
      </c>
      <c r="G118" s="13">
        <f>G52</f>
        <v>261595.26</v>
      </c>
      <c r="H118" s="22"/>
    </row>
    <row r="119" spans="1:8">
      <c r="A119" s="121" t="s">
        <v>45</v>
      </c>
      <c r="B119" s="130" t="s">
        <v>10</v>
      </c>
      <c r="C119" s="59" t="s">
        <v>47</v>
      </c>
      <c r="D119" s="78" t="s">
        <v>39</v>
      </c>
      <c r="E119" s="109">
        <f t="shared" ref="E119:E182" si="1">F119+G119</f>
        <v>8323595.5900000008</v>
      </c>
      <c r="F119" s="110"/>
      <c r="G119" s="108">
        <f>7558276.7-1100108.63+70006+44004.61+17065+20303+100000+242439.91-100000+771609+250000+100000+250000+100000</f>
        <v>8323595.5900000008</v>
      </c>
      <c r="H119" s="22"/>
    </row>
    <row r="120" spans="1:8" ht="25.5">
      <c r="A120" s="121"/>
      <c r="B120" s="130"/>
      <c r="C120" s="59" t="s">
        <v>154</v>
      </c>
      <c r="D120" s="79"/>
      <c r="E120" s="109"/>
      <c r="F120" s="110"/>
      <c r="G120" s="108"/>
      <c r="H120" s="22"/>
    </row>
    <row r="121" spans="1:8">
      <c r="A121" s="121"/>
      <c r="B121" s="130"/>
      <c r="C121" s="59" t="s">
        <v>210</v>
      </c>
      <c r="D121" s="79"/>
      <c r="E121" s="109"/>
      <c r="F121" s="110"/>
      <c r="G121" s="108"/>
      <c r="H121" s="22"/>
    </row>
    <row r="122" spans="1:8">
      <c r="A122" s="121"/>
      <c r="B122" s="130"/>
      <c r="C122" s="59" t="s">
        <v>155</v>
      </c>
      <c r="D122" s="79"/>
      <c r="E122" s="109"/>
      <c r="F122" s="110"/>
      <c r="G122" s="108"/>
      <c r="H122" s="22"/>
    </row>
    <row r="123" spans="1:8">
      <c r="A123" s="121"/>
      <c r="B123" s="130"/>
      <c r="C123" s="59" t="s">
        <v>156</v>
      </c>
      <c r="D123" s="79"/>
      <c r="E123" s="109"/>
      <c r="F123" s="110"/>
      <c r="G123" s="108"/>
      <c r="H123" s="22"/>
    </row>
    <row r="124" spans="1:8">
      <c r="A124" s="121"/>
      <c r="B124" s="130"/>
      <c r="C124" s="69" t="s">
        <v>230</v>
      </c>
      <c r="D124" s="79"/>
      <c r="E124" s="109"/>
      <c r="F124" s="110"/>
      <c r="G124" s="108"/>
      <c r="H124" s="22"/>
    </row>
    <row r="125" spans="1:8" ht="13.5" customHeight="1">
      <c r="A125" s="121"/>
      <c r="B125" s="130"/>
      <c r="C125" s="59" t="s">
        <v>52</v>
      </c>
      <c r="D125" s="79"/>
      <c r="E125" s="109"/>
      <c r="F125" s="110"/>
      <c r="G125" s="108"/>
    </row>
    <row r="126" spans="1:8" ht="13.5" customHeight="1">
      <c r="A126" s="121"/>
      <c r="B126" s="130" t="s">
        <v>119</v>
      </c>
      <c r="C126" s="59" t="s">
        <v>120</v>
      </c>
      <c r="D126" s="79"/>
      <c r="E126" s="85">
        <f t="shared" si="1"/>
        <v>786898.42999999993</v>
      </c>
      <c r="F126" s="87"/>
      <c r="G126" s="83">
        <f>27807.18+41685.3+703400+14005.95</f>
        <v>786898.42999999993</v>
      </c>
    </row>
    <row r="127" spans="1:8" ht="13.5" customHeight="1">
      <c r="A127" s="121"/>
      <c r="B127" s="130"/>
      <c r="C127" s="59" t="s">
        <v>207</v>
      </c>
      <c r="D127" s="79"/>
      <c r="E127" s="86"/>
      <c r="F127" s="88"/>
      <c r="G127" s="84"/>
    </row>
    <row r="128" spans="1:8" ht="13.5" customHeight="1">
      <c r="A128" s="121"/>
      <c r="B128" s="112" t="s">
        <v>148</v>
      </c>
      <c r="C128" s="59" t="s">
        <v>128</v>
      </c>
      <c r="D128" s="79"/>
      <c r="E128" s="85">
        <f>G128</f>
        <v>2346844.2800000003</v>
      </c>
      <c r="F128" s="87"/>
      <c r="G128" s="83">
        <f>105000+19650+2000000+91916.74+130277.54</f>
        <v>2346844.2800000003</v>
      </c>
    </row>
    <row r="129" spans="1:7" ht="24" customHeight="1">
      <c r="A129" s="121"/>
      <c r="B129" s="112"/>
      <c r="C129" s="59" t="s">
        <v>169</v>
      </c>
      <c r="D129" s="79"/>
      <c r="E129" s="111"/>
      <c r="F129" s="127"/>
      <c r="G129" s="98"/>
    </row>
    <row r="130" spans="1:7" ht="26.25" customHeight="1">
      <c r="A130" s="121"/>
      <c r="B130" s="112"/>
      <c r="C130" s="59" t="s">
        <v>102</v>
      </c>
      <c r="D130" s="79"/>
      <c r="E130" s="111"/>
      <c r="F130" s="127"/>
      <c r="G130" s="98"/>
    </row>
    <row r="131" spans="1:7" ht="24" customHeight="1">
      <c r="A131" s="121"/>
      <c r="B131" s="112"/>
      <c r="C131" s="59" t="s">
        <v>181</v>
      </c>
      <c r="D131" s="79"/>
      <c r="E131" s="111"/>
      <c r="F131" s="127"/>
      <c r="G131" s="98"/>
    </row>
    <row r="132" spans="1:7" ht="13.5" customHeight="1">
      <c r="A132" s="121"/>
      <c r="B132" s="82"/>
      <c r="C132" s="59" t="s">
        <v>149</v>
      </c>
      <c r="D132" s="79"/>
      <c r="E132" s="86"/>
      <c r="F132" s="88"/>
      <c r="G132" s="84"/>
    </row>
    <row r="133" spans="1:7" ht="13.5" customHeight="1">
      <c r="A133" s="121"/>
      <c r="B133" s="81" t="s">
        <v>96</v>
      </c>
      <c r="C133" s="59" t="s">
        <v>97</v>
      </c>
      <c r="D133" s="79"/>
      <c r="E133" s="85">
        <f t="shared" si="1"/>
        <v>822914.27</v>
      </c>
      <c r="F133" s="87"/>
      <c r="G133" s="83">
        <f>205841.96+321782.68+295289.63</f>
        <v>822914.27</v>
      </c>
    </row>
    <row r="134" spans="1:7" ht="13.5" customHeight="1">
      <c r="A134" s="121"/>
      <c r="B134" s="82"/>
      <c r="C134" s="59" t="s">
        <v>133</v>
      </c>
      <c r="D134" s="79"/>
      <c r="E134" s="86"/>
      <c r="F134" s="88"/>
      <c r="G134" s="84"/>
    </row>
    <row r="135" spans="1:7" ht="13.5" customHeight="1">
      <c r="A135" s="121"/>
      <c r="B135" s="81" t="s">
        <v>95</v>
      </c>
      <c r="C135" s="59" t="s">
        <v>123</v>
      </c>
      <c r="D135" s="79"/>
      <c r="E135" s="83">
        <f>G135</f>
        <v>4495928</v>
      </c>
      <c r="F135" s="83"/>
      <c r="G135" s="83">
        <f>3943697+200000+352231</f>
        <v>4495928</v>
      </c>
    </row>
    <row r="136" spans="1:7" ht="13.5" customHeight="1">
      <c r="A136" s="121"/>
      <c r="B136" s="112"/>
      <c r="C136" s="59" t="s">
        <v>162</v>
      </c>
      <c r="D136" s="79"/>
      <c r="E136" s="98"/>
      <c r="F136" s="98"/>
      <c r="G136" s="98"/>
    </row>
    <row r="137" spans="1:7" ht="13.5" customHeight="1">
      <c r="A137" s="121"/>
      <c r="B137" s="112"/>
      <c r="C137" s="69" t="s">
        <v>249</v>
      </c>
      <c r="D137" s="79"/>
      <c r="E137" s="98"/>
      <c r="F137" s="98"/>
      <c r="G137" s="98"/>
    </row>
    <row r="138" spans="1:7" ht="13.5" customHeight="1">
      <c r="A138" s="121"/>
      <c r="B138" s="82"/>
      <c r="C138" s="59" t="s">
        <v>52</v>
      </c>
      <c r="D138" s="79"/>
      <c r="E138" s="84"/>
      <c r="F138" s="84"/>
      <c r="G138" s="84"/>
    </row>
    <row r="139" spans="1:7">
      <c r="A139" s="121"/>
      <c r="B139" s="130" t="s">
        <v>42</v>
      </c>
      <c r="C139" s="59" t="s">
        <v>47</v>
      </c>
      <c r="D139" s="79"/>
      <c r="E139" s="109">
        <f t="shared" si="1"/>
        <v>4198327.2</v>
      </c>
      <c r="F139" s="118"/>
      <c r="G139" s="109">
        <f>193463.27+70000+35000+2921178.12+1328685.81-250000-100000</f>
        <v>4198327.2</v>
      </c>
    </row>
    <row r="140" spans="1:7">
      <c r="A140" s="121"/>
      <c r="B140" s="130"/>
      <c r="C140" s="69" t="s">
        <v>245</v>
      </c>
      <c r="D140" s="79"/>
      <c r="E140" s="109"/>
      <c r="F140" s="118"/>
      <c r="G140" s="109"/>
    </row>
    <row r="141" spans="1:7">
      <c r="A141" s="121"/>
      <c r="B141" s="130"/>
      <c r="C141" s="76" t="s">
        <v>258</v>
      </c>
      <c r="D141" s="79"/>
      <c r="E141" s="109"/>
      <c r="F141" s="118"/>
      <c r="G141" s="109"/>
    </row>
    <row r="142" spans="1:7">
      <c r="A142" s="121"/>
      <c r="B142" s="130"/>
      <c r="C142" s="59" t="s">
        <v>144</v>
      </c>
      <c r="D142" s="79"/>
      <c r="E142" s="109"/>
      <c r="F142" s="118"/>
      <c r="G142" s="109"/>
    </row>
    <row r="143" spans="1:7">
      <c r="A143" s="121"/>
      <c r="B143" s="56" t="s">
        <v>43</v>
      </c>
      <c r="C143" s="59" t="s">
        <v>141</v>
      </c>
      <c r="D143" s="79"/>
      <c r="E143" s="13">
        <f t="shared" si="1"/>
        <v>692600</v>
      </c>
      <c r="F143" s="47"/>
      <c r="G143" s="13">
        <f>449000+122400+57200+64000</f>
        <v>692600</v>
      </c>
    </row>
    <row r="144" spans="1:7" ht="25.5">
      <c r="A144" s="121"/>
      <c r="B144" s="56" t="s">
        <v>203</v>
      </c>
      <c r="C144" s="59" t="s">
        <v>233</v>
      </c>
      <c r="D144" s="79"/>
      <c r="E144" s="13">
        <f t="shared" si="1"/>
        <v>1899751.89</v>
      </c>
      <c r="F144" s="43"/>
      <c r="G144" s="51">
        <f>824800+999677.17+75274.72</f>
        <v>1899751.89</v>
      </c>
    </row>
    <row r="145" spans="1:8">
      <c r="A145" s="121"/>
      <c r="B145" s="81" t="s">
        <v>18</v>
      </c>
      <c r="C145" s="59" t="s">
        <v>150</v>
      </c>
      <c r="D145" s="79"/>
      <c r="E145" s="85">
        <f t="shared" si="1"/>
        <v>329751.02999999997</v>
      </c>
      <c r="F145" s="95"/>
      <c r="G145" s="85">
        <f>75170.23+33800.4+75170.23-75170.23+158780.4+62000</f>
        <v>329751.02999999997</v>
      </c>
    </row>
    <row r="146" spans="1:8">
      <c r="A146" s="121"/>
      <c r="B146" s="112"/>
      <c r="C146" s="69" t="s">
        <v>230</v>
      </c>
      <c r="D146" s="79"/>
      <c r="E146" s="111"/>
      <c r="F146" s="96"/>
      <c r="G146" s="111"/>
    </row>
    <row r="147" spans="1:8">
      <c r="A147" s="121"/>
      <c r="B147" s="82"/>
      <c r="C147" s="59" t="s">
        <v>196</v>
      </c>
      <c r="D147" s="79"/>
      <c r="E147" s="86"/>
      <c r="F147" s="97"/>
      <c r="G147" s="86"/>
    </row>
    <row r="148" spans="1:8">
      <c r="A148" s="121"/>
      <c r="B148" s="81" t="s">
        <v>19</v>
      </c>
      <c r="C148" s="59" t="s">
        <v>52</v>
      </c>
      <c r="D148" s="79"/>
      <c r="E148" s="85">
        <f t="shared" si="1"/>
        <v>786455</v>
      </c>
      <c r="F148" s="95"/>
      <c r="G148" s="85">
        <f>2293300+626455+2389020-2293302.72-2389017.28+160000</f>
        <v>786455</v>
      </c>
    </row>
    <row r="149" spans="1:8">
      <c r="A149" s="121"/>
      <c r="B149" s="112"/>
      <c r="C149" s="59" t="s">
        <v>123</v>
      </c>
      <c r="D149" s="79"/>
      <c r="E149" s="111"/>
      <c r="F149" s="96"/>
      <c r="G149" s="111"/>
    </row>
    <row r="150" spans="1:8">
      <c r="A150" s="121"/>
      <c r="B150" s="82"/>
      <c r="C150" s="59" t="s">
        <v>157</v>
      </c>
      <c r="D150" s="79"/>
      <c r="E150" s="86"/>
      <c r="F150" s="97"/>
      <c r="G150" s="86"/>
    </row>
    <row r="151" spans="1:8">
      <c r="A151" s="121"/>
      <c r="B151" s="81" t="s">
        <v>122</v>
      </c>
      <c r="C151" s="76" t="s">
        <v>158</v>
      </c>
      <c r="D151" s="79"/>
      <c r="E151" s="85">
        <f t="shared" si="1"/>
        <v>1366471</v>
      </c>
      <c r="F151" s="25"/>
      <c r="G151" s="85">
        <f>1413321+133150+1017000-1197000</f>
        <v>1366471</v>
      </c>
    </row>
    <row r="152" spans="1:8" ht="25.5">
      <c r="A152" s="121"/>
      <c r="B152" s="112"/>
      <c r="C152" s="59" t="s">
        <v>183</v>
      </c>
      <c r="D152" s="79"/>
      <c r="E152" s="111"/>
      <c r="F152" s="27"/>
      <c r="G152" s="111"/>
    </row>
    <row r="153" spans="1:8">
      <c r="A153" s="121"/>
      <c r="B153" s="82"/>
      <c r="C153" s="59" t="s">
        <v>52</v>
      </c>
      <c r="D153" s="79"/>
      <c r="E153" s="86"/>
      <c r="F153" s="26"/>
      <c r="G153" s="86"/>
    </row>
    <row r="154" spans="1:8" ht="76.5">
      <c r="A154" s="121"/>
      <c r="B154" s="81" t="s">
        <v>103</v>
      </c>
      <c r="C154" s="59" t="s">
        <v>146</v>
      </c>
      <c r="D154" s="79"/>
      <c r="E154" s="102">
        <f t="shared" si="1"/>
        <v>13403840.9</v>
      </c>
      <c r="F154" s="105"/>
      <c r="G154" s="99">
        <f>12425093.56+641500+337247.34</f>
        <v>13403840.9</v>
      </c>
      <c r="H154" s="23"/>
    </row>
    <row r="155" spans="1:8">
      <c r="A155" s="121"/>
      <c r="B155" s="112"/>
      <c r="C155" s="76" t="s">
        <v>258</v>
      </c>
      <c r="D155" s="79"/>
      <c r="E155" s="103"/>
      <c r="F155" s="106"/>
      <c r="G155" s="100"/>
      <c r="H155" s="23"/>
    </row>
    <row r="156" spans="1:8">
      <c r="A156" s="121"/>
      <c r="B156" s="82"/>
      <c r="C156" s="59" t="s">
        <v>52</v>
      </c>
      <c r="D156" s="79"/>
      <c r="E156" s="104"/>
      <c r="F156" s="107"/>
      <c r="G156" s="101"/>
      <c r="H156" s="23"/>
    </row>
    <row r="157" spans="1:8">
      <c r="A157" s="121"/>
      <c r="B157" s="81" t="s">
        <v>94</v>
      </c>
      <c r="C157" s="59" t="s">
        <v>52</v>
      </c>
      <c r="D157" s="79"/>
      <c r="E157" s="85">
        <f t="shared" si="1"/>
        <v>2497208</v>
      </c>
      <c r="F157" s="95"/>
      <c r="G157" s="85">
        <f>112208.41+2385000-0.41</f>
        <v>2497208</v>
      </c>
      <c r="H157" s="23"/>
    </row>
    <row r="158" spans="1:8" ht="25.5">
      <c r="A158" s="121"/>
      <c r="B158" s="82"/>
      <c r="C158" s="59" t="s">
        <v>169</v>
      </c>
      <c r="D158" s="79"/>
      <c r="E158" s="86"/>
      <c r="F158" s="97"/>
      <c r="G158" s="86"/>
      <c r="H158" s="23"/>
    </row>
    <row r="159" spans="1:8">
      <c r="A159" s="121"/>
      <c r="B159" s="81" t="s">
        <v>23</v>
      </c>
      <c r="C159" s="59" t="s">
        <v>63</v>
      </c>
      <c r="D159" s="79"/>
      <c r="E159" s="85">
        <f>G159</f>
        <v>6126000</v>
      </c>
      <c r="F159" s="85">
        <v>0</v>
      </c>
      <c r="G159" s="85">
        <v>6126000</v>
      </c>
      <c r="H159" s="23"/>
    </row>
    <row r="160" spans="1:8" ht="51">
      <c r="A160" s="121"/>
      <c r="B160" s="82"/>
      <c r="C160" s="59" t="s">
        <v>147</v>
      </c>
      <c r="D160" s="79"/>
      <c r="E160" s="86"/>
      <c r="F160" s="86"/>
      <c r="G160" s="86"/>
      <c r="H160" s="23"/>
    </row>
    <row r="161" spans="1:8">
      <c r="A161" s="121"/>
      <c r="B161" s="56" t="s">
        <v>164</v>
      </c>
      <c r="C161" s="59" t="str">
        <f>C157</f>
        <v>Замена оконных блоков</v>
      </c>
      <c r="D161" s="79"/>
      <c r="E161" s="48">
        <f>G161</f>
        <v>1554700</v>
      </c>
      <c r="F161" s="48"/>
      <c r="G161" s="48">
        <v>1554700</v>
      </c>
      <c r="H161" s="23"/>
    </row>
    <row r="162" spans="1:8">
      <c r="A162" s="121"/>
      <c r="B162" s="56" t="s">
        <v>182</v>
      </c>
      <c r="C162" s="59" t="s">
        <v>52</v>
      </c>
      <c r="D162" s="79"/>
      <c r="E162" s="48">
        <f>G162</f>
        <v>1386521.72</v>
      </c>
      <c r="F162" s="48"/>
      <c r="G162" s="48">
        <f>156400+1000000+168121.72+62000</f>
        <v>1386521.72</v>
      </c>
      <c r="H162" s="23"/>
    </row>
    <row r="163" spans="1:8">
      <c r="A163" s="121"/>
      <c r="B163" s="81" t="s">
        <v>24</v>
      </c>
      <c r="C163" s="59" t="str">
        <f>C161</f>
        <v>Замена оконных блоков</v>
      </c>
      <c r="D163" s="79"/>
      <c r="E163" s="85">
        <f>G163</f>
        <v>6488497.9000000004</v>
      </c>
      <c r="F163" s="95"/>
      <c r="G163" s="85">
        <f>3410267+88000+821730+1785000+99500+68000.9+216000</f>
        <v>6488497.9000000004</v>
      </c>
      <c r="H163" s="24"/>
    </row>
    <row r="164" spans="1:8" ht="50.25" customHeight="1">
      <c r="A164" s="121"/>
      <c r="B164" s="112"/>
      <c r="C164" s="59" t="s">
        <v>199</v>
      </c>
      <c r="D164" s="79"/>
      <c r="E164" s="111"/>
      <c r="F164" s="96"/>
      <c r="G164" s="111"/>
      <c r="H164" s="24"/>
    </row>
    <row r="165" spans="1:8" ht="50.25" customHeight="1">
      <c r="A165" s="121"/>
      <c r="B165" s="112"/>
      <c r="C165" s="59" t="s">
        <v>178</v>
      </c>
      <c r="D165" s="79"/>
      <c r="E165" s="111"/>
      <c r="F165" s="96"/>
      <c r="G165" s="111"/>
      <c r="H165" s="24"/>
    </row>
    <row r="166" spans="1:8" ht="38.25">
      <c r="A166" s="121"/>
      <c r="B166" s="112"/>
      <c r="C166" s="59" t="s">
        <v>198</v>
      </c>
      <c r="D166" s="79"/>
      <c r="E166" s="111"/>
      <c r="F166" s="96"/>
      <c r="G166" s="111"/>
      <c r="H166" s="24"/>
    </row>
    <row r="167" spans="1:8" ht="25.5">
      <c r="A167" s="121"/>
      <c r="B167" s="82"/>
      <c r="C167" s="59" t="s">
        <v>197</v>
      </c>
      <c r="D167" s="79"/>
      <c r="E167" s="86"/>
      <c r="F167" s="97"/>
      <c r="G167" s="86"/>
    </row>
    <row r="168" spans="1:8">
      <c r="A168" s="121"/>
      <c r="B168" s="81" t="s">
        <v>25</v>
      </c>
      <c r="C168" s="59" t="s">
        <v>52</v>
      </c>
      <c r="D168" s="79"/>
      <c r="E168" s="85">
        <f>G168</f>
        <v>924629.89</v>
      </c>
      <c r="F168" s="95"/>
      <c r="G168" s="85">
        <f>27000+55000+66000+263946+512683.89</f>
        <v>924629.89</v>
      </c>
    </row>
    <row r="169" spans="1:8" ht="25.5">
      <c r="A169" s="121"/>
      <c r="B169" s="112"/>
      <c r="C169" s="59" t="s">
        <v>202</v>
      </c>
      <c r="D169" s="79"/>
      <c r="E169" s="111"/>
      <c r="F169" s="96"/>
      <c r="G169" s="111"/>
    </row>
    <row r="170" spans="1:8">
      <c r="A170" s="121"/>
      <c r="B170" s="112"/>
      <c r="C170" s="59" t="s">
        <v>208</v>
      </c>
      <c r="D170" s="79"/>
      <c r="E170" s="111"/>
      <c r="F170" s="96"/>
      <c r="G170" s="111"/>
    </row>
    <row r="171" spans="1:8">
      <c r="A171" s="121"/>
      <c r="B171" s="82"/>
      <c r="C171" s="59" t="s">
        <v>120</v>
      </c>
      <c r="D171" s="79"/>
      <c r="E171" s="86"/>
      <c r="F171" s="97"/>
      <c r="G171" s="86"/>
    </row>
    <row r="172" spans="1:8">
      <c r="A172" s="121"/>
      <c r="B172" s="81" t="s">
        <v>98</v>
      </c>
      <c r="C172" s="59" t="s">
        <v>52</v>
      </c>
      <c r="D172" s="79"/>
      <c r="E172" s="85">
        <f>G172</f>
        <v>1483111</v>
      </c>
      <c r="F172" s="95"/>
      <c r="G172" s="85">
        <f>166000+107800+166000+104454.88+421900+516956.12</f>
        <v>1483111</v>
      </c>
      <c r="H172" s="24"/>
    </row>
    <row r="173" spans="1:8">
      <c r="A173" s="121"/>
      <c r="B173" s="112"/>
      <c r="C173" s="59" t="s">
        <v>99</v>
      </c>
      <c r="D173" s="79"/>
      <c r="E173" s="111"/>
      <c r="F173" s="96"/>
      <c r="G173" s="111"/>
    </row>
    <row r="174" spans="1:8">
      <c r="A174" s="121"/>
      <c r="B174" s="112"/>
      <c r="C174" s="59" t="s">
        <v>100</v>
      </c>
      <c r="D174" s="79"/>
      <c r="E174" s="111"/>
      <c r="F174" s="96"/>
      <c r="G174" s="111"/>
    </row>
    <row r="175" spans="1:8">
      <c r="A175" s="121"/>
      <c r="B175" s="112"/>
      <c r="C175" s="69" t="s">
        <v>63</v>
      </c>
      <c r="D175" s="79"/>
      <c r="E175" s="111"/>
      <c r="F175" s="96"/>
      <c r="G175" s="111"/>
    </row>
    <row r="176" spans="1:8" ht="25.5">
      <c r="A176" s="121"/>
      <c r="B176" s="82"/>
      <c r="C176" s="59" t="s">
        <v>108</v>
      </c>
      <c r="D176" s="79"/>
      <c r="E176" s="86"/>
      <c r="F176" s="97"/>
      <c r="G176" s="86"/>
    </row>
    <row r="177" spans="1:8">
      <c r="A177" s="121"/>
      <c r="B177" s="81" t="s">
        <v>28</v>
      </c>
      <c r="C177" s="59" t="s">
        <v>52</v>
      </c>
      <c r="D177" s="79"/>
      <c r="E177" s="85">
        <f>G177</f>
        <v>925235</v>
      </c>
      <c r="F177" s="95"/>
      <c r="G177" s="85">
        <f>254200+317750+323085+30200</f>
        <v>925235</v>
      </c>
    </row>
    <row r="178" spans="1:8">
      <c r="A178" s="121"/>
      <c r="B178" s="82"/>
      <c r="C178" s="59" t="s">
        <v>131</v>
      </c>
      <c r="D178" s="79"/>
      <c r="E178" s="86"/>
      <c r="F178" s="97"/>
      <c r="G178" s="86"/>
    </row>
    <row r="179" spans="1:8">
      <c r="A179" s="121"/>
      <c r="B179" s="81" t="s">
        <v>27</v>
      </c>
      <c r="C179" s="59" t="s">
        <v>78</v>
      </c>
      <c r="D179" s="79"/>
      <c r="E179" s="85">
        <f>G179</f>
        <v>6094618.9000000004</v>
      </c>
      <c r="F179" s="85"/>
      <c r="G179" s="85">
        <v>6094618.9000000004</v>
      </c>
    </row>
    <row r="180" spans="1:8">
      <c r="A180" s="121"/>
      <c r="B180" s="112"/>
      <c r="C180" s="59" t="s">
        <v>109</v>
      </c>
      <c r="D180" s="79"/>
      <c r="E180" s="111"/>
      <c r="F180" s="111"/>
      <c r="G180" s="111"/>
    </row>
    <row r="181" spans="1:8" ht="25.5">
      <c r="A181" s="121"/>
      <c r="B181" s="112"/>
      <c r="C181" s="59" t="s">
        <v>186</v>
      </c>
      <c r="D181" s="80"/>
      <c r="E181" s="86"/>
      <c r="F181" s="86"/>
      <c r="G181" s="86"/>
    </row>
    <row r="182" spans="1:8" ht="51">
      <c r="A182" s="121"/>
      <c r="B182" s="82"/>
      <c r="C182" s="59" t="s">
        <v>52</v>
      </c>
      <c r="D182" s="52" t="s">
        <v>51</v>
      </c>
      <c r="E182" s="13">
        <f t="shared" si="1"/>
        <v>1074700</v>
      </c>
      <c r="F182" s="47">
        <v>1064700</v>
      </c>
      <c r="G182" s="13">
        <v>10000</v>
      </c>
    </row>
    <row r="183" spans="1:8">
      <c r="A183" s="121"/>
      <c r="B183" s="126" t="s">
        <v>35</v>
      </c>
      <c r="C183" s="126"/>
      <c r="D183" s="126"/>
      <c r="E183" s="13">
        <f>SUM(E119:E182)</f>
        <v>68008600</v>
      </c>
      <c r="F183" s="13">
        <f>SUM(F119:F182)</f>
        <v>1064700</v>
      </c>
      <c r="G183" s="13">
        <f>SUM(G119:G182)</f>
        <v>66943900</v>
      </c>
    </row>
    <row r="184" spans="1:8">
      <c r="A184" s="121"/>
      <c r="B184" s="120" t="s">
        <v>41</v>
      </c>
      <c r="C184" s="120"/>
      <c r="D184" s="120"/>
      <c r="E184" s="13">
        <f>G184</f>
        <v>3286898.4299999997</v>
      </c>
      <c r="F184" s="13">
        <f>F126</f>
        <v>0</v>
      </c>
      <c r="G184" s="13">
        <f>G126+2500000</f>
        <v>3286898.4299999997</v>
      </c>
      <c r="H184" s="22"/>
    </row>
    <row r="185" spans="1:8" ht="25.5">
      <c r="A185" s="78" t="s">
        <v>104</v>
      </c>
      <c r="B185" s="81" t="s">
        <v>101</v>
      </c>
      <c r="C185" s="59" t="s">
        <v>173</v>
      </c>
      <c r="D185" s="78" t="s">
        <v>39</v>
      </c>
      <c r="E185" s="85">
        <f t="shared" ref="E185:E189" si="2">F185+G185</f>
        <v>3591214.99</v>
      </c>
      <c r="F185" s="87"/>
      <c r="G185" s="83">
        <f>720000+2691700+179514.99</f>
        <v>3591214.99</v>
      </c>
    </row>
    <row r="186" spans="1:8" ht="13.5" customHeight="1">
      <c r="A186" s="79"/>
      <c r="B186" s="82"/>
      <c r="C186" s="69" t="s">
        <v>234</v>
      </c>
      <c r="D186" s="79"/>
      <c r="E186" s="86"/>
      <c r="F186" s="88"/>
      <c r="G186" s="84"/>
    </row>
    <row r="187" spans="1:8" ht="13.5">
      <c r="A187" s="79"/>
      <c r="B187" s="16" t="s">
        <v>215</v>
      </c>
      <c r="C187" s="59" t="s">
        <v>63</v>
      </c>
      <c r="D187" s="79"/>
      <c r="E187" s="17">
        <f t="shared" si="2"/>
        <v>748962.37</v>
      </c>
      <c r="F187" s="18"/>
      <c r="G187" s="19">
        <v>748962.37</v>
      </c>
    </row>
    <row r="188" spans="1:8" ht="45" customHeight="1">
      <c r="A188" s="79"/>
      <c r="B188" s="16" t="s">
        <v>213</v>
      </c>
      <c r="C188" s="59" t="s">
        <v>214</v>
      </c>
      <c r="D188" s="79"/>
      <c r="E188" s="17">
        <f t="shared" si="2"/>
        <v>7829511.71</v>
      </c>
      <c r="F188" s="18"/>
      <c r="G188" s="19">
        <f>568169.07+5912900+1048705.01+299737.63</f>
        <v>7829511.71</v>
      </c>
    </row>
    <row r="189" spans="1:8" ht="45" customHeight="1">
      <c r="A189" s="80"/>
      <c r="B189" s="16" t="s">
        <v>166</v>
      </c>
      <c r="C189" s="59" t="s">
        <v>167</v>
      </c>
      <c r="D189" s="80"/>
      <c r="E189" s="17">
        <f t="shared" si="2"/>
        <v>59930.93</v>
      </c>
      <c r="F189" s="18"/>
      <c r="G189" s="19">
        <v>59930.93</v>
      </c>
    </row>
    <row r="190" spans="1:8">
      <c r="A190" s="61"/>
      <c r="B190" s="120" t="s">
        <v>35</v>
      </c>
      <c r="C190" s="120"/>
      <c r="D190" s="120"/>
      <c r="E190" s="13">
        <f>SUM(E185:E189)</f>
        <v>12229620</v>
      </c>
      <c r="F190" s="13">
        <f t="shared" ref="F190:G190" si="3">SUM(F185:F189)</f>
        <v>0</v>
      </c>
      <c r="G190" s="13">
        <f t="shared" si="3"/>
        <v>12229620</v>
      </c>
    </row>
    <row r="191" spans="1:8">
      <c r="A191" s="61"/>
      <c r="B191" s="120" t="s">
        <v>41</v>
      </c>
      <c r="C191" s="120"/>
      <c r="D191" s="120"/>
      <c r="E191" s="13">
        <v>0</v>
      </c>
      <c r="F191" s="13">
        <f>F184+F118</f>
        <v>0</v>
      </c>
      <c r="G191" s="13">
        <v>0</v>
      </c>
    </row>
    <row r="192" spans="1:8" ht="45" customHeight="1">
      <c r="A192" s="78" t="s">
        <v>124</v>
      </c>
      <c r="B192" s="16" t="s">
        <v>125</v>
      </c>
      <c r="C192" s="59" t="s">
        <v>211</v>
      </c>
      <c r="D192" s="78" t="s">
        <v>39</v>
      </c>
      <c r="E192" s="17">
        <f t="shared" ref="E192" si="4">F192+G192</f>
        <v>5177104.16</v>
      </c>
      <c r="F192" s="18"/>
      <c r="G192" s="19">
        <f>1948000+200000+388200+1948000+385400+307504.16</f>
        <v>5177104.16</v>
      </c>
    </row>
    <row r="193" spans="1:7" ht="27.75" customHeight="1">
      <c r="A193" s="79"/>
      <c r="B193" s="81" t="s">
        <v>160</v>
      </c>
      <c r="C193" s="59" t="s">
        <v>259</v>
      </c>
      <c r="D193" s="79"/>
      <c r="E193" s="85">
        <f>G193</f>
        <v>923026.23</v>
      </c>
      <c r="F193" s="87"/>
      <c r="G193" s="83">
        <f>550000+131700+242234.23-908</f>
        <v>923026.23</v>
      </c>
    </row>
    <row r="194" spans="1:7" ht="25.5">
      <c r="A194" s="79"/>
      <c r="B194" s="82"/>
      <c r="C194" s="59" t="s">
        <v>168</v>
      </c>
      <c r="D194" s="79"/>
      <c r="E194" s="86"/>
      <c r="F194" s="88"/>
      <c r="G194" s="84"/>
    </row>
    <row r="195" spans="1:7">
      <c r="A195" s="80"/>
      <c r="B195" s="45" t="s">
        <v>212</v>
      </c>
      <c r="C195" s="59" t="s">
        <v>228</v>
      </c>
      <c r="D195" s="80"/>
      <c r="E195" s="50">
        <f>G195</f>
        <v>11776379.610000001</v>
      </c>
      <c r="F195" s="50">
        <v>0</v>
      </c>
      <c r="G195" s="50">
        <f>11016500+361786.9+398092.71</f>
        <v>11776379.610000001</v>
      </c>
    </row>
    <row r="196" spans="1:7">
      <c r="A196" s="61"/>
      <c r="B196" s="120" t="s">
        <v>35</v>
      </c>
      <c r="C196" s="120"/>
      <c r="D196" s="120"/>
      <c r="E196" s="13">
        <f t="shared" ref="E196:F196" si="5">E192+E193+E195</f>
        <v>17876510</v>
      </c>
      <c r="F196" s="13">
        <f t="shared" si="5"/>
        <v>0</v>
      </c>
      <c r="G196" s="13">
        <f>G192+G193+G195</f>
        <v>17876510</v>
      </c>
    </row>
    <row r="197" spans="1:7">
      <c r="A197" s="61"/>
      <c r="B197" s="120" t="s">
        <v>41</v>
      </c>
      <c r="C197" s="120"/>
      <c r="D197" s="120"/>
      <c r="E197" s="13">
        <v>0</v>
      </c>
      <c r="F197" s="13">
        <f>F191+F126</f>
        <v>0</v>
      </c>
      <c r="G197" s="13">
        <v>0</v>
      </c>
    </row>
    <row r="198" spans="1:7">
      <c r="A198" s="61"/>
      <c r="B198" s="120" t="s">
        <v>35</v>
      </c>
      <c r="C198" s="120"/>
      <c r="D198" s="120"/>
      <c r="E198" s="13">
        <f>E190+E183+E117+E196</f>
        <v>174501564.40919998</v>
      </c>
      <c r="F198" s="13">
        <f>F190+F183+F117+F196</f>
        <v>2295000</v>
      </c>
      <c r="G198" s="13">
        <f>G190+G183+G117+G196</f>
        <v>172206564.40919998</v>
      </c>
    </row>
    <row r="199" spans="1:7">
      <c r="A199" s="61"/>
      <c r="B199" s="120" t="s">
        <v>41</v>
      </c>
      <c r="C199" s="120"/>
      <c r="D199" s="120"/>
      <c r="E199" s="13">
        <f>E191+E184+E118</f>
        <v>3548493.6899999995</v>
      </c>
      <c r="F199" s="13">
        <f>F191+F184+F118</f>
        <v>0</v>
      </c>
      <c r="G199" s="13">
        <f>G191+G184+G118</f>
        <v>3548493.6899999995</v>
      </c>
    </row>
  </sheetData>
  <autoFilter ref="A14:G184"/>
  <mergeCells count="208">
    <mergeCell ref="E54:E59"/>
    <mergeCell ref="G98:G99"/>
    <mergeCell ref="E98:E99"/>
    <mergeCell ref="F98:F99"/>
    <mergeCell ref="F48:F50"/>
    <mergeCell ref="G78:G83"/>
    <mergeCell ref="E78:E83"/>
    <mergeCell ref="F78:F83"/>
    <mergeCell ref="G68:G70"/>
    <mergeCell ref="E68:E70"/>
    <mergeCell ref="F68:F70"/>
    <mergeCell ref="G52:G53"/>
    <mergeCell ref="E52:E53"/>
    <mergeCell ref="F52:F53"/>
    <mergeCell ref="F64:F67"/>
    <mergeCell ref="F54:F59"/>
    <mergeCell ref="D2:F9"/>
    <mergeCell ref="G193:G194"/>
    <mergeCell ref="E193:E194"/>
    <mergeCell ref="F193:F194"/>
    <mergeCell ref="B193:B194"/>
    <mergeCell ref="B154:B156"/>
    <mergeCell ref="B133:B134"/>
    <mergeCell ref="B119:B125"/>
    <mergeCell ref="B151:B153"/>
    <mergeCell ref="B148:B150"/>
    <mergeCell ref="F168:F171"/>
    <mergeCell ref="B126:B127"/>
    <mergeCell ref="G126:G127"/>
    <mergeCell ref="E126:E127"/>
    <mergeCell ref="F126:F127"/>
    <mergeCell ref="D185:D189"/>
    <mergeCell ref="B177:B178"/>
    <mergeCell ref="B179:B182"/>
    <mergeCell ref="B159:B160"/>
    <mergeCell ref="B139:B142"/>
    <mergeCell ref="E157:E158"/>
    <mergeCell ref="B184:D184"/>
    <mergeCell ref="G159:G160"/>
    <mergeCell ref="G45:G47"/>
    <mergeCell ref="B54:B59"/>
    <mergeCell ref="B62:B63"/>
    <mergeCell ref="B68:B70"/>
    <mergeCell ref="B98:B99"/>
    <mergeCell ref="B64:B67"/>
    <mergeCell ref="B76:B77"/>
    <mergeCell ref="B45:B47"/>
    <mergeCell ref="F13:G13"/>
    <mergeCell ref="A11:F11"/>
    <mergeCell ref="A13:A14"/>
    <mergeCell ref="B13:B14"/>
    <mergeCell ref="C13:C14"/>
    <mergeCell ref="D13:D14"/>
    <mergeCell ref="E13:E14"/>
    <mergeCell ref="G48:G50"/>
    <mergeCell ref="E48:E50"/>
    <mergeCell ref="G35:G36"/>
    <mergeCell ref="E35:E36"/>
    <mergeCell ref="F35:F36"/>
    <mergeCell ref="G25:G30"/>
    <mergeCell ref="E25:E30"/>
    <mergeCell ref="F25:F30"/>
    <mergeCell ref="F45:F47"/>
    <mergeCell ref="E45:E47"/>
    <mergeCell ref="B117:D117"/>
    <mergeCell ref="B183:D183"/>
    <mergeCell ref="G31:G33"/>
    <mergeCell ref="G39:G44"/>
    <mergeCell ref="G62:G63"/>
    <mergeCell ref="E62:E63"/>
    <mergeCell ref="F62:F63"/>
    <mergeCell ref="B71:B74"/>
    <mergeCell ref="G71:G74"/>
    <mergeCell ref="B118:D118"/>
    <mergeCell ref="G179:G181"/>
    <mergeCell ref="E179:E181"/>
    <mergeCell ref="F179:F181"/>
    <mergeCell ref="F148:F150"/>
    <mergeCell ref="B128:B132"/>
    <mergeCell ref="G128:G132"/>
    <mergeCell ref="E128:E132"/>
    <mergeCell ref="F128:F132"/>
    <mergeCell ref="G133:G134"/>
    <mergeCell ref="E133:E134"/>
    <mergeCell ref="F133:F134"/>
    <mergeCell ref="G135:G138"/>
    <mergeCell ref="F135:F138"/>
    <mergeCell ref="B48:B50"/>
    <mergeCell ref="A119:A184"/>
    <mergeCell ref="A15:A118"/>
    <mergeCell ref="B25:B30"/>
    <mergeCell ref="B17:B21"/>
    <mergeCell ref="B78:B83"/>
    <mergeCell ref="G17:G21"/>
    <mergeCell ref="F17:F21"/>
    <mergeCell ref="E17:E21"/>
    <mergeCell ref="B168:B171"/>
    <mergeCell ref="G168:G171"/>
    <mergeCell ref="E31:E33"/>
    <mergeCell ref="F31:F33"/>
    <mergeCell ref="B39:B44"/>
    <mergeCell ref="E39:E44"/>
    <mergeCell ref="F39:F44"/>
    <mergeCell ref="B31:B33"/>
    <mergeCell ref="B15:B16"/>
    <mergeCell ref="F157:F158"/>
    <mergeCell ref="G64:G67"/>
    <mergeCell ref="E64:E67"/>
    <mergeCell ref="B135:B138"/>
    <mergeCell ref="B35:B36"/>
    <mergeCell ref="B157:B158"/>
    <mergeCell ref="D119:D181"/>
    <mergeCell ref="B100:B102"/>
    <mergeCell ref="B198:D198"/>
    <mergeCell ref="B199:D199"/>
    <mergeCell ref="B190:D190"/>
    <mergeCell ref="B191:D191"/>
    <mergeCell ref="B196:D196"/>
    <mergeCell ref="B197:D197"/>
    <mergeCell ref="F159:F160"/>
    <mergeCell ref="G139:G142"/>
    <mergeCell ref="E148:E150"/>
    <mergeCell ref="G148:G150"/>
    <mergeCell ref="E139:E142"/>
    <mergeCell ref="F139:F142"/>
    <mergeCell ref="G177:G178"/>
    <mergeCell ref="E177:E178"/>
    <mergeCell ref="F177:F178"/>
    <mergeCell ref="B163:B167"/>
    <mergeCell ref="G163:G167"/>
    <mergeCell ref="E163:E167"/>
    <mergeCell ref="F163:F167"/>
    <mergeCell ref="F172:F176"/>
    <mergeCell ref="G172:G176"/>
    <mergeCell ref="G151:G153"/>
    <mergeCell ref="E151:E153"/>
    <mergeCell ref="A192:A195"/>
    <mergeCell ref="D192:D195"/>
    <mergeCell ref="B87:B91"/>
    <mergeCell ref="E87:E91"/>
    <mergeCell ref="G87:G91"/>
    <mergeCell ref="F87:F91"/>
    <mergeCell ref="G23:G24"/>
    <mergeCell ref="E23:E24"/>
    <mergeCell ref="F23:F24"/>
    <mergeCell ref="B60:B61"/>
    <mergeCell ref="G60:G61"/>
    <mergeCell ref="F60:F61"/>
    <mergeCell ref="E60:E61"/>
    <mergeCell ref="B145:B147"/>
    <mergeCell ref="G145:G147"/>
    <mergeCell ref="E145:E147"/>
    <mergeCell ref="F145:F147"/>
    <mergeCell ref="B93:B94"/>
    <mergeCell ref="G93:G94"/>
    <mergeCell ref="E93:E94"/>
    <mergeCell ref="F93:F94"/>
    <mergeCell ref="E100:E102"/>
    <mergeCell ref="G100:G102"/>
    <mergeCell ref="F100:F102"/>
    <mergeCell ref="F112:F115"/>
    <mergeCell ref="D15:D115"/>
    <mergeCell ref="E96:E97"/>
    <mergeCell ref="G96:G97"/>
    <mergeCell ref="F96:F97"/>
    <mergeCell ref="B96:B97"/>
    <mergeCell ref="B110:B111"/>
    <mergeCell ref="E110:E111"/>
    <mergeCell ref="G110:G111"/>
    <mergeCell ref="F110:F111"/>
    <mergeCell ref="B103:B104"/>
    <mergeCell ref="G103:G104"/>
    <mergeCell ref="E103:E104"/>
    <mergeCell ref="F103:F104"/>
    <mergeCell ref="G76:G77"/>
    <mergeCell ref="E76:E77"/>
    <mergeCell ref="F76:F77"/>
    <mergeCell ref="G15:G16"/>
    <mergeCell ref="E15:E16"/>
    <mergeCell ref="F15:F16"/>
    <mergeCell ref="B52:B53"/>
    <mergeCell ref="F71:F74"/>
    <mergeCell ref="E71:E74"/>
    <mergeCell ref="G54:G59"/>
    <mergeCell ref="A185:A189"/>
    <mergeCell ref="B185:B186"/>
    <mergeCell ref="G185:G186"/>
    <mergeCell ref="E185:E186"/>
    <mergeCell ref="F185:F186"/>
    <mergeCell ref="B105:B107"/>
    <mergeCell ref="G105:G107"/>
    <mergeCell ref="E105:E107"/>
    <mergeCell ref="F105:F107"/>
    <mergeCell ref="E135:E138"/>
    <mergeCell ref="E159:E160"/>
    <mergeCell ref="G154:G156"/>
    <mergeCell ref="E154:E156"/>
    <mergeCell ref="F154:F156"/>
    <mergeCell ref="G119:G125"/>
    <mergeCell ref="E119:E125"/>
    <mergeCell ref="F119:F125"/>
    <mergeCell ref="G157:G158"/>
    <mergeCell ref="E168:E171"/>
    <mergeCell ref="E172:E176"/>
    <mergeCell ref="B172:B176"/>
    <mergeCell ref="B112:B115"/>
    <mergeCell ref="E112:E115"/>
    <mergeCell ref="G112:G115"/>
  </mergeCells>
  <phoneticPr fontId="6" type="noConversion"/>
  <pageMargins left="0.31496062992125984" right="0.31496062992125984" top="0.19685039370078741" bottom="0.19685039370078741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114"/>
  <sheetViews>
    <sheetView tabSelected="1" workbookViewId="0">
      <selection activeCell="D2" sqref="D2:F9"/>
    </sheetView>
  </sheetViews>
  <sheetFormatPr defaultColWidth="9.140625" defaultRowHeight="12.75"/>
  <cols>
    <col min="1" max="1" width="26.7109375" style="1" customWidth="1"/>
    <col min="2" max="2" width="32.5703125" style="2" customWidth="1"/>
    <col min="3" max="3" width="18.85546875" style="3" customWidth="1"/>
    <col min="4" max="4" width="14.85546875" style="12" customWidth="1"/>
    <col min="5" max="5" width="16" style="3" customWidth="1"/>
    <col min="6" max="6" width="16.28515625" style="21" customWidth="1"/>
    <col min="7" max="16384" width="9.140625" style="3"/>
  </cols>
  <sheetData>
    <row r="2" spans="1:6" ht="13.15" customHeight="1">
      <c r="D2" s="134" t="s">
        <v>266</v>
      </c>
      <c r="E2" s="134"/>
      <c r="F2" s="134"/>
    </row>
    <row r="3" spans="1:6" ht="13.15" customHeight="1">
      <c r="D3" s="134"/>
      <c r="E3" s="134"/>
      <c r="F3" s="134"/>
    </row>
    <row r="4" spans="1:6" s="9" customFormat="1" ht="12.75" customHeight="1">
      <c r="A4" s="8"/>
      <c r="C4" s="10"/>
      <c r="D4" s="134"/>
      <c r="E4" s="134"/>
      <c r="F4" s="134"/>
    </row>
    <row r="5" spans="1:6" s="9" customFormat="1" ht="12.75" customHeight="1">
      <c r="A5" s="8"/>
      <c r="C5" s="10"/>
      <c r="D5" s="134"/>
      <c r="E5" s="134"/>
      <c r="F5" s="134"/>
    </row>
    <row r="6" spans="1:6" s="9" customFormat="1" ht="12.75" customHeight="1">
      <c r="A6" s="8"/>
      <c r="C6" s="10"/>
      <c r="D6" s="134"/>
      <c r="E6" s="134"/>
      <c r="F6" s="134"/>
    </row>
    <row r="7" spans="1:6" s="9" customFormat="1" ht="12.75" customHeight="1">
      <c r="A7" s="8"/>
      <c r="C7" s="10"/>
      <c r="D7" s="134"/>
      <c r="E7" s="134"/>
      <c r="F7" s="134"/>
    </row>
    <row r="8" spans="1:6" s="9" customFormat="1" ht="21" customHeight="1">
      <c r="A8" s="8"/>
      <c r="C8" s="10"/>
      <c r="D8" s="134"/>
      <c r="E8" s="134"/>
      <c r="F8" s="134"/>
    </row>
    <row r="9" spans="1:6" s="9" customFormat="1" ht="30.6" customHeight="1">
      <c r="A9" s="8"/>
      <c r="C9" s="10"/>
      <c r="D9" s="134"/>
      <c r="E9" s="134"/>
      <c r="F9" s="134"/>
    </row>
    <row r="10" spans="1:6" s="9" customFormat="1" ht="39.75" customHeight="1">
      <c r="A10" s="128" t="s">
        <v>263</v>
      </c>
      <c r="B10" s="128"/>
      <c r="C10" s="128"/>
      <c r="D10" s="128"/>
      <c r="E10" s="128"/>
      <c r="F10" s="128"/>
    </row>
    <row r="11" spans="1:6" ht="12.75" customHeight="1">
      <c r="D11" s="134"/>
      <c r="E11" s="134"/>
      <c r="F11" s="134"/>
    </row>
    <row r="12" spans="1:6" ht="12" customHeight="1">
      <c r="B12" s="15"/>
      <c r="C12" s="4"/>
      <c r="D12" s="35"/>
      <c r="E12" s="4"/>
      <c r="F12" s="21" t="s">
        <v>262</v>
      </c>
    </row>
    <row r="13" spans="1:6">
      <c r="A13" s="121" t="s">
        <v>0</v>
      </c>
      <c r="B13" s="78" t="s">
        <v>1</v>
      </c>
      <c r="C13" s="121" t="s">
        <v>2</v>
      </c>
      <c r="D13" s="95" t="s">
        <v>3</v>
      </c>
      <c r="E13" s="121" t="s">
        <v>4</v>
      </c>
      <c r="F13" s="121"/>
    </row>
    <row r="14" spans="1:6" ht="38.25">
      <c r="A14" s="121"/>
      <c r="B14" s="80"/>
      <c r="C14" s="121"/>
      <c r="D14" s="97"/>
      <c r="E14" s="32" t="s">
        <v>5</v>
      </c>
      <c r="F14" s="7" t="s">
        <v>6</v>
      </c>
    </row>
    <row r="15" spans="1:6" ht="15.75" customHeight="1">
      <c r="A15" s="135" t="s">
        <v>223</v>
      </c>
      <c r="B15" s="65" t="s">
        <v>53</v>
      </c>
      <c r="C15" s="78"/>
      <c r="D15" s="92">
        <f t="shared" ref="D15:D78" si="0">F15</f>
        <v>750531.40999999992</v>
      </c>
      <c r="E15" s="95">
        <v>0</v>
      </c>
      <c r="F15" s="92">
        <f>330471.32+171252.13+136560+112247.96</f>
        <v>750531.40999999992</v>
      </c>
    </row>
    <row r="16" spans="1:6">
      <c r="A16" s="136"/>
      <c r="B16" s="65" t="s">
        <v>93</v>
      </c>
      <c r="C16" s="79"/>
      <c r="D16" s="93">
        <f t="shared" si="0"/>
        <v>0</v>
      </c>
      <c r="E16" s="96"/>
      <c r="F16" s="93"/>
    </row>
    <row r="17" spans="1:6">
      <c r="A17" s="137"/>
      <c r="B17" s="65" t="s">
        <v>224</v>
      </c>
      <c r="C17" s="79"/>
      <c r="D17" s="94">
        <f t="shared" si="0"/>
        <v>0</v>
      </c>
      <c r="E17" s="97"/>
      <c r="F17" s="94"/>
    </row>
    <row r="18" spans="1:6" ht="25.5">
      <c r="A18" s="33" t="s">
        <v>54</v>
      </c>
      <c r="B18" s="33" t="s">
        <v>53</v>
      </c>
      <c r="C18" s="79"/>
      <c r="D18" s="7">
        <f t="shared" si="0"/>
        <v>300000</v>
      </c>
      <c r="E18" s="28">
        <v>0</v>
      </c>
      <c r="F18" s="7">
        <v>300000</v>
      </c>
    </row>
    <row r="19" spans="1:6" ht="25.5" customHeight="1">
      <c r="A19" s="135" t="s">
        <v>130</v>
      </c>
      <c r="B19" s="33" t="s">
        <v>93</v>
      </c>
      <c r="C19" s="79"/>
      <c r="D19" s="95">
        <f t="shared" si="0"/>
        <v>758300</v>
      </c>
      <c r="E19" s="138">
        <v>0</v>
      </c>
      <c r="F19" s="95">
        <f>182600+575700</f>
        <v>758300</v>
      </c>
    </row>
    <row r="20" spans="1:6">
      <c r="A20" s="137"/>
      <c r="B20" s="75" t="s">
        <v>53</v>
      </c>
      <c r="C20" s="79"/>
      <c r="D20" s="97">
        <f t="shared" si="0"/>
        <v>0</v>
      </c>
      <c r="E20" s="139"/>
      <c r="F20" s="97"/>
    </row>
    <row r="21" spans="1:6" ht="25.5">
      <c r="A21" s="33" t="s">
        <v>110</v>
      </c>
      <c r="B21" s="33" t="s">
        <v>53</v>
      </c>
      <c r="C21" s="79"/>
      <c r="D21" s="7">
        <f t="shared" si="0"/>
        <v>335000</v>
      </c>
      <c r="E21" s="28">
        <v>0</v>
      </c>
      <c r="F21" s="7">
        <v>335000</v>
      </c>
    </row>
    <row r="22" spans="1:6" ht="25.5" customHeight="1">
      <c r="A22" s="135" t="s">
        <v>225</v>
      </c>
      <c r="B22" s="65" t="s">
        <v>53</v>
      </c>
      <c r="C22" s="79"/>
      <c r="D22" s="92">
        <f t="shared" si="0"/>
        <v>1884113.22</v>
      </c>
      <c r="E22" s="138">
        <v>0</v>
      </c>
      <c r="F22" s="92">
        <f>350678.74+256767.81+1276666.67</f>
        <v>1884113.22</v>
      </c>
    </row>
    <row r="23" spans="1:6">
      <c r="A23" s="136"/>
      <c r="B23" s="65" t="s">
        <v>224</v>
      </c>
      <c r="C23" s="79"/>
      <c r="D23" s="93">
        <f t="shared" si="0"/>
        <v>0</v>
      </c>
      <c r="E23" s="140"/>
      <c r="F23" s="93"/>
    </row>
    <row r="24" spans="1:6">
      <c r="A24" s="136"/>
      <c r="B24" s="65" t="s">
        <v>226</v>
      </c>
      <c r="C24" s="79"/>
      <c r="D24" s="94">
        <f t="shared" si="0"/>
        <v>0</v>
      </c>
      <c r="E24" s="139"/>
      <c r="F24" s="94"/>
    </row>
    <row r="25" spans="1:6" ht="25.5" customHeight="1">
      <c r="A25" s="135" t="s">
        <v>91</v>
      </c>
      <c r="B25" s="33" t="s">
        <v>92</v>
      </c>
      <c r="C25" s="79"/>
      <c r="D25" s="92">
        <f t="shared" si="0"/>
        <v>2598304.61</v>
      </c>
      <c r="E25" s="138">
        <v>0</v>
      </c>
      <c r="F25" s="92">
        <f>75500+1600000+922804.61</f>
        <v>2598304.61</v>
      </c>
    </row>
    <row r="26" spans="1:6">
      <c r="A26" s="136"/>
      <c r="B26" s="33" t="s">
        <v>93</v>
      </c>
      <c r="C26" s="79"/>
      <c r="D26" s="93">
        <f t="shared" si="0"/>
        <v>0</v>
      </c>
      <c r="E26" s="140"/>
      <c r="F26" s="93"/>
    </row>
    <row r="27" spans="1:6">
      <c r="A27" s="136"/>
      <c r="B27" s="65" t="s">
        <v>53</v>
      </c>
      <c r="C27" s="79"/>
      <c r="D27" s="93">
        <f t="shared" si="0"/>
        <v>0</v>
      </c>
      <c r="E27" s="140"/>
      <c r="F27" s="93"/>
    </row>
    <row r="28" spans="1:6">
      <c r="A28" s="137"/>
      <c r="B28" s="65" t="s">
        <v>224</v>
      </c>
      <c r="C28" s="79"/>
      <c r="D28" s="94">
        <f t="shared" si="0"/>
        <v>0</v>
      </c>
      <c r="E28" s="139"/>
      <c r="F28" s="94"/>
    </row>
    <row r="29" spans="1:6" ht="25.5" customHeight="1">
      <c r="A29" s="135" t="s">
        <v>65</v>
      </c>
      <c r="B29" s="33" t="s">
        <v>66</v>
      </c>
      <c r="C29" s="79"/>
      <c r="D29" s="95">
        <f t="shared" si="0"/>
        <v>685000</v>
      </c>
      <c r="E29" s="138">
        <v>0</v>
      </c>
      <c r="F29" s="95">
        <f>110000+575000</f>
        <v>685000</v>
      </c>
    </row>
    <row r="30" spans="1:6">
      <c r="A30" s="137"/>
      <c r="B30" s="75" t="s">
        <v>226</v>
      </c>
      <c r="C30" s="79"/>
      <c r="D30" s="97">
        <f t="shared" si="0"/>
        <v>0</v>
      </c>
      <c r="E30" s="139"/>
      <c r="F30" s="97"/>
    </row>
    <row r="31" spans="1:6" ht="16.5" customHeight="1">
      <c r="A31" s="135" t="s">
        <v>116</v>
      </c>
      <c r="B31" s="33" t="s">
        <v>93</v>
      </c>
      <c r="C31" s="79"/>
      <c r="D31" s="95">
        <f t="shared" si="0"/>
        <v>511500</v>
      </c>
      <c r="E31" s="138">
        <v>0</v>
      </c>
      <c r="F31" s="95">
        <f>71500+440000</f>
        <v>511500</v>
      </c>
    </row>
    <row r="32" spans="1:6">
      <c r="A32" s="137"/>
      <c r="B32" s="33" t="s">
        <v>126</v>
      </c>
      <c r="C32" s="79"/>
      <c r="D32" s="97">
        <f t="shared" si="0"/>
        <v>0</v>
      </c>
      <c r="E32" s="139"/>
      <c r="F32" s="97"/>
    </row>
    <row r="33" spans="1:6" ht="15.75" customHeight="1">
      <c r="A33" s="148" t="s">
        <v>60</v>
      </c>
      <c r="B33" s="33" t="s">
        <v>53</v>
      </c>
      <c r="C33" s="79"/>
      <c r="D33" s="95">
        <f t="shared" si="0"/>
        <v>501216.18999999994</v>
      </c>
      <c r="E33" s="138">
        <v>0</v>
      </c>
      <c r="F33" s="95">
        <f>350000+128180.59+23035.6</f>
        <v>501216.18999999994</v>
      </c>
    </row>
    <row r="34" spans="1:6" ht="25.5">
      <c r="A34" s="148"/>
      <c r="B34" s="33" t="s">
        <v>112</v>
      </c>
      <c r="C34" s="79"/>
      <c r="D34" s="97">
        <f t="shared" si="0"/>
        <v>0</v>
      </c>
      <c r="E34" s="139"/>
      <c r="F34" s="97"/>
    </row>
    <row r="35" spans="1:6" ht="25.5">
      <c r="A35" s="33" t="s">
        <v>61</v>
      </c>
      <c r="B35" s="33" t="s">
        <v>53</v>
      </c>
      <c r="C35" s="79"/>
      <c r="D35" s="7">
        <f t="shared" si="0"/>
        <v>350000</v>
      </c>
      <c r="E35" s="28">
        <v>0</v>
      </c>
      <c r="F35" s="7">
        <v>350000</v>
      </c>
    </row>
    <row r="36" spans="1:6">
      <c r="A36" s="65" t="s">
        <v>40</v>
      </c>
      <c r="B36" s="65" t="s">
        <v>53</v>
      </c>
      <c r="C36" s="79"/>
      <c r="D36" s="63">
        <f t="shared" si="0"/>
        <v>875830</v>
      </c>
      <c r="E36" s="68">
        <v>0</v>
      </c>
      <c r="F36" s="63">
        <v>875830</v>
      </c>
    </row>
    <row r="37" spans="1:6">
      <c r="A37" s="33" t="s">
        <v>81</v>
      </c>
      <c r="B37" s="33" t="s">
        <v>93</v>
      </c>
      <c r="C37" s="79"/>
      <c r="D37" s="7">
        <f t="shared" si="0"/>
        <v>154800</v>
      </c>
      <c r="E37" s="68">
        <v>0</v>
      </c>
      <c r="F37" s="7">
        <v>154800</v>
      </c>
    </row>
    <row r="38" spans="1:6">
      <c r="A38" s="65" t="s">
        <v>84</v>
      </c>
      <c r="B38" s="65" t="s">
        <v>53</v>
      </c>
      <c r="C38" s="79"/>
      <c r="D38" s="63">
        <f t="shared" si="0"/>
        <v>510000</v>
      </c>
      <c r="E38" s="68">
        <v>0</v>
      </c>
      <c r="F38" s="63">
        <v>510000</v>
      </c>
    </row>
    <row r="39" spans="1:6">
      <c r="A39" s="33" t="s">
        <v>87</v>
      </c>
      <c r="B39" s="33" t="s">
        <v>53</v>
      </c>
      <c r="C39" s="79"/>
      <c r="D39" s="7">
        <f t="shared" si="0"/>
        <v>680000</v>
      </c>
      <c r="E39" s="28">
        <v>0</v>
      </c>
      <c r="F39" s="7">
        <v>680000</v>
      </c>
    </row>
    <row r="40" spans="1:6">
      <c r="A40" s="135" t="s">
        <v>58</v>
      </c>
      <c r="B40" s="33" t="s">
        <v>53</v>
      </c>
      <c r="C40" s="79"/>
      <c r="D40" s="92">
        <f t="shared" si="0"/>
        <v>1272778.42</v>
      </c>
      <c r="E40" s="138">
        <v>0</v>
      </c>
      <c r="F40" s="92">
        <f>558000+714778.42</f>
        <v>1272778.42</v>
      </c>
    </row>
    <row r="41" spans="1:6">
      <c r="A41" s="137"/>
      <c r="B41" s="65" t="s">
        <v>219</v>
      </c>
      <c r="C41" s="79"/>
      <c r="D41" s="94">
        <f t="shared" si="0"/>
        <v>0</v>
      </c>
      <c r="E41" s="139"/>
      <c r="F41" s="94"/>
    </row>
    <row r="42" spans="1:6">
      <c r="A42" s="135" t="s">
        <v>105</v>
      </c>
      <c r="B42" s="33" t="s">
        <v>53</v>
      </c>
      <c r="C42" s="79"/>
      <c r="D42" s="92">
        <f t="shared" si="0"/>
        <v>548143.13</v>
      </c>
      <c r="E42" s="138">
        <v>0</v>
      </c>
      <c r="F42" s="92">
        <f>358143.13+190000</f>
        <v>548143.13</v>
      </c>
    </row>
    <row r="43" spans="1:6" ht="38.25">
      <c r="A43" s="137"/>
      <c r="B43" s="33" t="s">
        <v>189</v>
      </c>
      <c r="C43" s="79"/>
      <c r="D43" s="94">
        <f t="shared" si="0"/>
        <v>0</v>
      </c>
      <c r="E43" s="139"/>
      <c r="F43" s="94"/>
    </row>
    <row r="44" spans="1:6" ht="25.5">
      <c r="A44" s="135" t="s">
        <v>114</v>
      </c>
      <c r="B44" s="33" t="s">
        <v>115</v>
      </c>
      <c r="C44" s="79"/>
      <c r="D44" s="92">
        <f t="shared" si="0"/>
        <v>427100</v>
      </c>
      <c r="E44" s="138">
        <v>0</v>
      </c>
      <c r="F44" s="92">
        <f>37100+390000</f>
        <v>427100</v>
      </c>
    </row>
    <row r="45" spans="1:6">
      <c r="A45" s="137"/>
      <c r="B45" s="65" t="s">
        <v>219</v>
      </c>
      <c r="C45" s="79"/>
      <c r="D45" s="94">
        <f t="shared" si="0"/>
        <v>0</v>
      </c>
      <c r="E45" s="139"/>
      <c r="F45" s="94"/>
    </row>
    <row r="46" spans="1:6">
      <c r="A46" s="33" t="s">
        <v>127</v>
      </c>
      <c r="B46" s="33" t="s">
        <v>118</v>
      </c>
      <c r="C46" s="79"/>
      <c r="D46" s="7">
        <f t="shared" si="0"/>
        <v>49750</v>
      </c>
      <c r="E46" s="28">
        <v>0</v>
      </c>
      <c r="F46" s="7">
        <v>49750</v>
      </c>
    </row>
    <row r="47" spans="1:6" ht="25.5">
      <c r="A47" s="146" t="s">
        <v>7</v>
      </c>
      <c r="B47" s="6" t="s">
        <v>8</v>
      </c>
      <c r="C47" s="79"/>
      <c r="D47" s="85">
        <f t="shared" si="0"/>
        <v>1228460</v>
      </c>
      <c r="E47" s="138">
        <v>0</v>
      </c>
      <c r="F47" s="85">
        <f>878460+350000</f>
        <v>1228460</v>
      </c>
    </row>
    <row r="48" spans="1:6">
      <c r="A48" s="146"/>
      <c r="B48" s="6" t="s">
        <v>53</v>
      </c>
      <c r="C48" s="79"/>
      <c r="D48" s="86">
        <f t="shared" si="0"/>
        <v>0</v>
      </c>
      <c r="E48" s="139"/>
      <c r="F48" s="86"/>
    </row>
    <row r="49" spans="1:6" ht="25.5">
      <c r="A49" s="71" t="s">
        <v>90</v>
      </c>
      <c r="B49" s="72" t="s">
        <v>250</v>
      </c>
      <c r="C49" s="79"/>
      <c r="D49" s="13">
        <f t="shared" si="0"/>
        <v>590000</v>
      </c>
      <c r="E49" s="73">
        <v>0</v>
      </c>
      <c r="F49" s="70">
        <v>590000</v>
      </c>
    </row>
    <row r="50" spans="1:6">
      <c r="A50" s="135" t="s">
        <v>107</v>
      </c>
      <c r="B50" s="33" t="s">
        <v>118</v>
      </c>
      <c r="C50" s="79"/>
      <c r="D50" s="85">
        <f t="shared" si="0"/>
        <v>290000</v>
      </c>
      <c r="E50" s="138">
        <v>0</v>
      </c>
      <c r="F50" s="85">
        <v>290000</v>
      </c>
    </row>
    <row r="51" spans="1:6">
      <c r="A51" s="137"/>
      <c r="B51" s="75" t="s">
        <v>260</v>
      </c>
      <c r="C51" s="79"/>
      <c r="D51" s="86">
        <f t="shared" si="0"/>
        <v>0</v>
      </c>
      <c r="E51" s="139"/>
      <c r="F51" s="86"/>
    </row>
    <row r="52" spans="1:6" ht="25.5">
      <c r="A52" s="33" t="s">
        <v>185</v>
      </c>
      <c r="B52" s="33" t="s">
        <v>187</v>
      </c>
      <c r="C52" s="79"/>
      <c r="D52" s="13">
        <f t="shared" si="0"/>
        <v>250000</v>
      </c>
      <c r="E52" s="28">
        <v>0</v>
      </c>
      <c r="F52" s="13">
        <v>250000</v>
      </c>
    </row>
    <row r="53" spans="1:6" ht="25.5">
      <c r="A53" s="147" t="s">
        <v>59</v>
      </c>
      <c r="B53" s="6" t="s">
        <v>8</v>
      </c>
      <c r="C53" s="79"/>
      <c r="D53" s="85">
        <f t="shared" si="0"/>
        <v>775500</v>
      </c>
      <c r="E53" s="138">
        <v>0</v>
      </c>
      <c r="F53" s="85">
        <v>775500</v>
      </c>
    </row>
    <row r="54" spans="1:6" ht="25.5">
      <c r="A54" s="147"/>
      <c r="B54" s="6" t="s">
        <v>113</v>
      </c>
      <c r="C54" s="79"/>
      <c r="D54" s="86">
        <f t="shared" si="0"/>
        <v>0</v>
      </c>
      <c r="E54" s="139"/>
      <c r="F54" s="86"/>
    </row>
    <row r="55" spans="1:6">
      <c r="A55" s="36" t="s">
        <v>135</v>
      </c>
      <c r="B55" s="6" t="s">
        <v>53</v>
      </c>
      <c r="C55" s="79"/>
      <c r="D55" s="13">
        <f t="shared" si="0"/>
        <v>149887</v>
      </c>
      <c r="E55" s="28">
        <v>0</v>
      </c>
      <c r="F55" s="13">
        <f>150000-113</f>
        <v>149887</v>
      </c>
    </row>
    <row r="56" spans="1:6" ht="38.25">
      <c r="A56" s="6" t="s">
        <v>134</v>
      </c>
      <c r="B56" s="6" t="s">
        <v>251</v>
      </c>
      <c r="C56" s="79"/>
      <c r="D56" s="13">
        <f t="shared" si="0"/>
        <v>659400</v>
      </c>
      <c r="E56" s="28">
        <v>0</v>
      </c>
      <c r="F56" s="13">
        <f>139400+520000</f>
        <v>659400</v>
      </c>
    </row>
    <row r="57" spans="1:6" ht="38.25">
      <c r="A57" s="6" t="s">
        <v>9</v>
      </c>
      <c r="B57" s="6" t="s">
        <v>8</v>
      </c>
      <c r="C57" s="79"/>
      <c r="D57" s="13">
        <f t="shared" si="0"/>
        <v>906840</v>
      </c>
      <c r="E57" s="28">
        <v>0</v>
      </c>
      <c r="F57" s="13">
        <f>914760-7920</f>
        <v>906840</v>
      </c>
    </row>
    <row r="58" spans="1:6" ht="25.5">
      <c r="A58" s="6" t="s">
        <v>10</v>
      </c>
      <c r="B58" s="6" t="s">
        <v>8</v>
      </c>
      <c r="C58" s="79"/>
      <c r="D58" s="13">
        <f t="shared" si="0"/>
        <v>1152500</v>
      </c>
      <c r="E58" s="28">
        <v>0</v>
      </c>
      <c r="F58" s="13">
        <f>2368800-1216300</f>
        <v>1152500</v>
      </c>
    </row>
    <row r="59" spans="1:6">
      <c r="A59" s="89" t="s">
        <v>11</v>
      </c>
      <c r="B59" s="6" t="s">
        <v>121</v>
      </c>
      <c r="C59" s="79"/>
      <c r="D59" s="85">
        <f t="shared" si="0"/>
        <v>361846.14</v>
      </c>
      <c r="E59" s="138">
        <v>0</v>
      </c>
      <c r="F59" s="85">
        <f>8371.53+25883.61+327591</f>
        <v>361846.14</v>
      </c>
    </row>
    <row r="60" spans="1:6" ht="25.5">
      <c r="A60" s="91"/>
      <c r="B60" s="69" t="s">
        <v>222</v>
      </c>
      <c r="C60" s="79"/>
      <c r="D60" s="86">
        <f t="shared" si="0"/>
        <v>0</v>
      </c>
      <c r="E60" s="139"/>
      <c r="F60" s="86"/>
    </row>
    <row r="61" spans="1:6" ht="25.5">
      <c r="A61" s="74" t="s">
        <v>12</v>
      </c>
      <c r="B61" s="6" t="s">
        <v>8</v>
      </c>
      <c r="C61" s="79"/>
      <c r="D61" s="13">
        <f t="shared" si="0"/>
        <v>753444.5</v>
      </c>
      <c r="E61" s="28">
        <v>0</v>
      </c>
      <c r="F61" s="13">
        <f>753444.5</f>
        <v>753444.5</v>
      </c>
    </row>
    <row r="62" spans="1:6" ht="25.5">
      <c r="A62" s="89" t="s">
        <v>13</v>
      </c>
      <c r="B62" s="6" t="s">
        <v>8</v>
      </c>
      <c r="C62" s="79"/>
      <c r="D62" s="85">
        <f t="shared" si="0"/>
        <v>1539481.05</v>
      </c>
      <c r="E62" s="138">
        <v>0</v>
      </c>
      <c r="F62" s="85">
        <v>1539481.05</v>
      </c>
    </row>
    <row r="63" spans="1:6">
      <c r="A63" s="91"/>
      <c r="B63" s="59" t="s">
        <v>219</v>
      </c>
      <c r="C63" s="79"/>
      <c r="D63" s="86">
        <f t="shared" si="0"/>
        <v>0</v>
      </c>
      <c r="E63" s="139"/>
      <c r="F63" s="86"/>
    </row>
    <row r="64" spans="1:6" ht="25.5">
      <c r="A64" s="147" t="s">
        <v>14</v>
      </c>
      <c r="B64" s="6" t="s">
        <v>8</v>
      </c>
      <c r="C64" s="79"/>
      <c r="D64" s="85">
        <f t="shared" si="0"/>
        <v>1769366.02</v>
      </c>
      <c r="E64" s="138">
        <v>0</v>
      </c>
      <c r="F64" s="85">
        <v>1769366.02</v>
      </c>
    </row>
    <row r="65" spans="1:6" ht="25.5">
      <c r="A65" s="147"/>
      <c r="B65" s="6" t="s">
        <v>137</v>
      </c>
      <c r="C65" s="79"/>
      <c r="D65" s="111">
        <f t="shared" si="0"/>
        <v>0</v>
      </c>
      <c r="E65" s="140"/>
      <c r="F65" s="111"/>
    </row>
    <row r="66" spans="1:6" ht="25.5">
      <c r="A66" s="147"/>
      <c r="B66" s="6" t="s">
        <v>117</v>
      </c>
      <c r="C66" s="79"/>
      <c r="D66" s="86">
        <f t="shared" si="0"/>
        <v>0</v>
      </c>
      <c r="E66" s="139"/>
      <c r="F66" s="86"/>
    </row>
    <row r="67" spans="1:6" ht="25.5">
      <c r="A67" s="6" t="s">
        <v>15</v>
      </c>
      <c r="B67" s="6" t="s">
        <v>8</v>
      </c>
      <c r="C67" s="79"/>
      <c r="D67" s="13">
        <f t="shared" si="0"/>
        <v>603900</v>
      </c>
      <c r="E67" s="28">
        <v>0</v>
      </c>
      <c r="F67" s="13">
        <v>603900</v>
      </c>
    </row>
    <row r="68" spans="1:6" ht="25.5">
      <c r="A68" s="6" t="s">
        <v>16</v>
      </c>
      <c r="B68" s="6" t="s">
        <v>8</v>
      </c>
      <c r="C68" s="79"/>
      <c r="D68" s="13">
        <f t="shared" si="0"/>
        <v>973700</v>
      </c>
      <c r="E68" s="28">
        <v>0</v>
      </c>
      <c r="F68" s="13">
        <f>667280+306420</f>
        <v>973700</v>
      </c>
    </row>
    <row r="69" spans="1:6" ht="25.5">
      <c r="A69" s="6" t="s">
        <v>17</v>
      </c>
      <c r="B69" s="6" t="s">
        <v>8</v>
      </c>
      <c r="C69" s="79"/>
      <c r="D69" s="13">
        <f t="shared" si="0"/>
        <v>554400</v>
      </c>
      <c r="E69" s="28">
        <v>0</v>
      </c>
      <c r="F69" s="13">
        <f>600000-45600</f>
        <v>554400</v>
      </c>
    </row>
    <row r="70" spans="1:6">
      <c r="A70" s="6" t="s">
        <v>18</v>
      </c>
      <c r="B70" s="6" t="s">
        <v>53</v>
      </c>
      <c r="C70" s="79"/>
      <c r="D70" s="13">
        <f t="shared" si="0"/>
        <v>1588893.35</v>
      </c>
      <c r="E70" s="28"/>
      <c r="F70" s="13">
        <f>1575152.8+50498.55-36758</f>
        <v>1588893.35</v>
      </c>
    </row>
    <row r="71" spans="1:6" ht="25.5">
      <c r="A71" s="147" t="s">
        <v>19</v>
      </c>
      <c r="B71" s="6" t="s">
        <v>8</v>
      </c>
      <c r="C71" s="79"/>
      <c r="D71" s="85">
        <f t="shared" si="0"/>
        <v>1832913.4</v>
      </c>
      <c r="E71" s="138">
        <v>0</v>
      </c>
      <c r="F71" s="85">
        <f>2002179.66-169266.26</f>
        <v>1832913.4</v>
      </c>
    </row>
    <row r="72" spans="1:6" ht="38.25">
      <c r="A72" s="147"/>
      <c r="B72" s="6" t="s">
        <v>111</v>
      </c>
      <c r="C72" s="79"/>
      <c r="D72" s="111">
        <f t="shared" si="0"/>
        <v>0</v>
      </c>
      <c r="E72" s="140"/>
      <c r="F72" s="111"/>
    </row>
    <row r="73" spans="1:6">
      <c r="A73" s="147"/>
      <c r="B73" s="6" t="s">
        <v>53</v>
      </c>
      <c r="C73" s="79"/>
      <c r="D73" s="86">
        <f t="shared" si="0"/>
        <v>0</v>
      </c>
      <c r="E73" s="139"/>
      <c r="F73" s="86"/>
    </row>
    <row r="74" spans="1:6" ht="25.5">
      <c r="A74" s="81" t="s">
        <v>20</v>
      </c>
      <c r="B74" s="6" t="s">
        <v>8</v>
      </c>
      <c r="C74" s="79"/>
      <c r="D74" s="85">
        <f t="shared" si="0"/>
        <v>3110679.41</v>
      </c>
      <c r="E74" s="138">
        <v>0</v>
      </c>
      <c r="F74" s="85">
        <f>2656326.54+4385+449967.87</f>
        <v>3110679.41</v>
      </c>
    </row>
    <row r="75" spans="1:6">
      <c r="A75" s="112"/>
      <c r="B75" s="6" t="s">
        <v>184</v>
      </c>
      <c r="C75" s="79"/>
      <c r="D75" s="111">
        <f t="shared" si="0"/>
        <v>0</v>
      </c>
      <c r="E75" s="140"/>
      <c r="F75" s="111"/>
    </row>
    <row r="76" spans="1:6">
      <c r="A76" s="112"/>
      <c r="B76" s="59" t="s">
        <v>219</v>
      </c>
      <c r="C76" s="79"/>
      <c r="D76" s="111">
        <f t="shared" si="0"/>
        <v>0</v>
      </c>
      <c r="E76" s="140"/>
      <c r="F76" s="111"/>
    </row>
    <row r="77" spans="1:6" ht="25.5">
      <c r="A77" s="112"/>
      <c r="B77" s="59" t="s">
        <v>218</v>
      </c>
      <c r="C77" s="79"/>
      <c r="D77" s="111">
        <f t="shared" si="0"/>
        <v>0</v>
      </c>
      <c r="E77" s="140"/>
      <c r="F77" s="111"/>
    </row>
    <row r="78" spans="1:6">
      <c r="A78" s="82"/>
      <c r="B78" s="6" t="s">
        <v>153</v>
      </c>
      <c r="C78" s="79"/>
      <c r="D78" s="86">
        <f t="shared" si="0"/>
        <v>0</v>
      </c>
      <c r="E78" s="139"/>
      <c r="F78" s="86"/>
    </row>
    <row r="79" spans="1:6" ht="25.5">
      <c r="A79" s="146" t="s">
        <v>21</v>
      </c>
      <c r="B79" s="6" t="s">
        <v>8</v>
      </c>
      <c r="C79" s="79"/>
      <c r="D79" s="85">
        <f t="shared" ref="D79:D100" si="1">F79</f>
        <v>911858</v>
      </c>
      <c r="E79" s="138">
        <v>0</v>
      </c>
      <c r="F79" s="85">
        <v>911858</v>
      </c>
    </row>
    <row r="80" spans="1:6" ht="25.5">
      <c r="A80" s="146"/>
      <c r="B80" s="6" t="s">
        <v>152</v>
      </c>
      <c r="C80" s="79"/>
      <c r="D80" s="111">
        <f t="shared" si="1"/>
        <v>0</v>
      </c>
      <c r="E80" s="140"/>
      <c r="F80" s="111"/>
    </row>
    <row r="81" spans="1:6">
      <c r="A81" s="146"/>
      <c r="B81" s="6" t="s">
        <v>62</v>
      </c>
      <c r="C81" s="79"/>
      <c r="D81" s="86">
        <f t="shared" si="1"/>
        <v>0</v>
      </c>
      <c r="E81" s="139"/>
      <c r="F81" s="86"/>
    </row>
    <row r="82" spans="1:6" ht="25.5">
      <c r="A82" s="36" t="s">
        <v>22</v>
      </c>
      <c r="B82" s="6" t="s">
        <v>8</v>
      </c>
      <c r="C82" s="79"/>
      <c r="D82" s="13">
        <f t="shared" si="1"/>
        <v>785538</v>
      </c>
      <c r="E82" s="28">
        <v>0</v>
      </c>
      <c r="F82" s="13">
        <f>878202-92664</f>
        <v>785538</v>
      </c>
    </row>
    <row r="83" spans="1:6" ht="25.5">
      <c r="A83" s="89" t="s">
        <v>23</v>
      </c>
      <c r="B83" s="6" t="s">
        <v>8</v>
      </c>
      <c r="C83" s="79"/>
      <c r="D83" s="85">
        <f t="shared" si="1"/>
        <v>1565732.47</v>
      </c>
      <c r="E83" s="138">
        <v>0</v>
      </c>
      <c r="F83" s="85">
        <f>1300552.47+280000-14820</f>
        <v>1565732.47</v>
      </c>
    </row>
    <row r="84" spans="1:6" ht="38.25">
      <c r="A84" s="90"/>
      <c r="B84" s="6" t="s">
        <v>136</v>
      </c>
      <c r="C84" s="79"/>
      <c r="D84" s="111">
        <f t="shared" si="1"/>
        <v>0</v>
      </c>
      <c r="E84" s="140"/>
      <c r="F84" s="111"/>
    </row>
    <row r="85" spans="1:6" ht="25.5">
      <c r="A85" s="90"/>
      <c r="B85" s="6" t="s">
        <v>138</v>
      </c>
      <c r="C85" s="79"/>
      <c r="D85" s="111">
        <f t="shared" si="1"/>
        <v>0</v>
      </c>
      <c r="E85" s="140"/>
      <c r="F85" s="111"/>
    </row>
    <row r="86" spans="1:6">
      <c r="A86" s="91"/>
      <c r="B86" s="6" t="s">
        <v>53</v>
      </c>
      <c r="C86" s="79"/>
      <c r="D86" s="86">
        <f t="shared" si="1"/>
        <v>0</v>
      </c>
      <c r="E86" s="139"/>
      <c r="F86" s="86"/>
    </row>
    <row r="87" spans="1:6">
      <c r="A87" s="58" t="s">
        <v>32</v>
      </c>
      <c r="B87" s="59" t="s">
        <v>217</v>
      </c>
      <c r="C87" s="79"/>
      <c r="D87" s="13">
        <f t="shared" si="1"/>
        <v>20000</v>
      </c>
      <c r="E87" s="57">
        <v>0</v>
      </c>
      <c r="F87" s="13">
        <v>20000</v>
      </c>
    </row>
    <row r="88" spans="1:6" ht="25.5">
      <c r="A88" s="146" t="s">
        <v>24</v>
      </c>
      <c r="B88" s="6" t="s">
        <v>8</v>
      </c>
      <c r="C88" s="79"/>
      <c r="D88" s="85">
        <f t="shared" si="1"/>
        <v>1264307.26</v>
      </c>
      <c r="E88" s="138">
        <v>0</v>
      </c>
      <c r="F88" s="85">
        <v>1264307.26</v>
      </c>
    </row>
    <row r="89" spans="1:6">
      <c r="A89" s="146"/>
      <c r="B89" s="6" t="s">
        <v>64</v>
      </c>
      <c r="C89" s="79"/>
      <c r="D89" s="111">
        <f t="shared" si="1"/>
        <v>0</v>
      </c>
      <c r="E89" s="140"/>
      <c r="F89" s="111"/>
    </row>
    <row r="90" spans="1:6" ht="25.5">
      <c r="A90" s="146"/>
      <c r="B90" s="6" t="s">
        <v>57</v>
      </c>
      <c r="C90" s="79"/>
      <c r="D90" s="111">
        <f t="shared" si="1"/>
        <v>0</v>
      </c>
      <c r="E90" s="140"/>
      <c r="F90" s="111"/>
    </row>
    <row r="91" spans="1:6" ht="25.5">
      <c r="A91" s="146"/>
      <c r="B91" s="6" t="s">
        <v>56</v>
      </c>
      <c r="C91" s="79"/>
      <c r="D91" s="111">
        <f t="shared" si="1"/>
        <v>0</v>
      </c>
      <c r="E91" s="140"/>
      <c r="F91" s="111"/>
    </row>
    <row r="92" spans="1:6" ht="25.5">
      <c r="A92" s="146"/>
      <c r="B92" s="6" t="s">
        <v>55</v>
      </c>
      <c r="C92" s="79"/>
      <c r="D92" s="86">
        <f t="shared" si="1"/>
        <v>0</v>
      </c>
      <c r="E92" s="139"/>
      <c r="F92" s="86"/>
    </row>
    <row r="93" spans="1:6" ht="25.5">
      <c r="A93" s="89" t="s">
        <v>25</v>
      </c>
      <c r="B93" s="6" t="s">
        <v>8</v>
      </c>
      <c r="C93" s="79"/>
      <c r="D93" s="85">
        <f t="shared" si="1"/>
        <v>2087085</v>
      </c>
      <c r="E93" s="138">
        <v>0</v>
      </c>
      <c r="F93" s="85">
        <f>2121285-34200</f>
        <v>2087085</v>
      </c>
    </row>
    <row r="94" spans="1:6" ht="25.5">
      <c r="A94" s="91"/>
      <c r="B94" s="6" t="s">
        <v>152</v>
      </c>
      <c r="C94" s="79"/>
      <c r="D94" s="86">
        <f t="shared" si="1"/>
        <v>0</v>
      </c>
      <c r="E94" s="139"/>
      <c r="F94" s="86"/>
    </row>
    <row r="95" spans="1:6" ht="25.5">
      <c r="A95" s="89" t="s">
        <v>26</v>
      </c>
      <c r="B95" s="6" t="s">
        <v>8</v>
      </c>
      <c r="C95" s="79"/>
      <c r="D95" s="85">
        <f t="shared" si="1"/>
        <v>2633647.0099999998</v>
      </c>
      <c r="E95" s="138">
        <v>0</v>
      </c>
      <c r="F95" s="85">
        <f>2373110+260537.01</f>
        <v>2633647.0099999998</v>
      </c>
    </row>
    <row r="96" spans="1:6">
      <c r="A96" s="91"/>
      <c r="B96" s="59" t="s">
        <v>220</v>
      </c>
      <c r="C96" s="79"/>
      <c r="D96" s="86">
        <f t="shared" si="1"/>
        <v>0</v>
      </c>
      <c r="E96" s="139"/>
      <c r="F96" s="86"/>
    </row>
    <row r="97" spans="1:6" ht="25.5">
      <c r="A97" s="6" t="s">
        <v>27</v>
      </c>
      <c r="B97" s="6" t="s">
        <v>8</v>
      </c>
      <c r="C97" s="79"/>
      <c r="D97" s="13">
        <f t="shared" si="1"/>
        <v>1088000</v>
      </c>
      <c r="E97" s="28">
        <v>0</v>
      </c>
      <c r="F97" s="13">
        <v>1088000</v>
      </c>
    </row>
    <row r="98" spans="1:6" ht="25.5">
      <c r="A98" s="89" t="s">
        <v>28</v>
      </c>
      <c r="B98" s="6" t="s">
        <v>8</v>
      </c>
      <c r="C98" s="79"/>
      <c r="D98" s="85">
        <f t="shared" si="1"/>
        <v>1279900</v>
      </c>
      <c r="E98" s="138">
        <v>0</v>
      </c>
      <c r="F98" s="85">
        <f>889200-39300+430000</f>
        <v>1279900</v>
      </c>
    </row>
    <row r="99" spans="1:6">
      <c r="A99" s="91"/>
      <c r="B99" s="6" t="s">
        <v>53</v>
      </c>
      <c r="C99" s="79"/>
      <c r="D99" s="86">
        <f t="shared" si="1"/>
        <v>0</v>
      </c>
      <c r="E99" s="139"/>
      <c r="F99" s="86"/>
    </row>
    <row r="100" spans="1:6">
      <c r="A100" s="29" t="s">
        <v>101</v>
      </c>
      <c r="B100" s="6" t="s">
        <v>53</v>
      </c>
      <c r="C100" s="79"/>
      <c r="D100" s="13">
        <f t="shared" si="1"/>
        <v>494000</v>
      </c>
      <c r="E100" s="28">
        <v>0</v>
      </c>
      <c r="F100" s="13">
        <v>494000</v>
      </c>
    </row>
    <row r="101" spans="1:6">
      <c r="A101" s="37" t="s">
        <v>151</v>
      </c>
      <c r="B101" s="6" t="s">
        <v>161</v>
      </c>
      <c r="C101" s="80"/>
      <c r="D101" s="13">
        <f>F101</f>
        <v>46600</v>
      </c>
      <c r="E101" s="28">
        <v>0</v>
      </c>
      <c r="F101" s="13">
        <v>46600</v>
      </c>
    </row>
    <row r="102" spans="1:6">
      <c r="A102" s="124" t="s">
        <v>29</v>
      </c>
      <c r="B102" s="124"/>
      <c r="C102" s="143"/>
      <c r="D102" s="13">
        <f>F102</f>
        <v>44460245.589999996</v>
      </c>
      <c r="E102" s="13">
        <f>SUM(E18:E101)</f>
        <v>0</v>
      </c>
      <c r="F102" s="13">
        <f>SUM(F15:F101)</f>
        <v>44460245.589999996</v>
      </c>
    </row>
    <row r="103" spans="1:6">
      <c r="A103" s="31" t="s">
        <v>11</v>
      </c>
      <c r="B103" s="144" t="s">
        <v>8</v>
      </c>
      <c r="C103" s="145" t="s">
        <v>264</v>
      </c>
      <c r="D103" s="13">
        <f t="shared" ref="D103:D109" si="2">E103+F103</f>
        <v>1399920</v>
      </c>
      <c r="E103" s="38">
        <f>1399920-1890</f>
        <v>1398030</v>
      </c>
      <c r="F103" s="13">
        <v>1890</v>
      </c>
    </row>
    <row r="104" spans="1:6">
      <c r="A104" s="16" t="s">
        <v>18</v>
      </c>
      <c r="B104" s="144"/>
      <c r="C104" s="145"/>
      <c r="D104" s="13">
        <f t="shared" si="2"/>
        <v>724655.7</v>
      </c>
      <c r="E104" s="38">
        <v>723677.7</v>
      </c>
      <c r="F104" s="13">
        <v>978</v>
      </c>
    </row>
    <row r="105" spans="1:6">
      <c r="A105" s="16" t="s">
        <v>30</v>
      </c>
      <c r="B105" s="144"/>
      <c r="C105" s="145"/>
      <c r="D105" s="13">
        <f t="shared" si="2"/>
        <v>1037020</v>
      </c>
      <c r="E105" s="38">
        <v>1035620</v>
      </c>
      <c r="F105" s="13">
        <v>1400</v>
      </c>
    </row>
    <row r="106" spans="1:6">
      <c r="A106" s="16" t="s">
        <v>31</v>
      </c>
      <c r="B106" s="144"/>
      <c r="C106" s="145"/>
      <c r="D106" s="13">
        <f t="shared" si="2"/>
        <v>1085280</v>
      </c>
      <c r="E106" s="38">
        <v>1083815</v>
      </c>
      <c r="F106" s="13">
        <v>1465</v>
      </c>
    </row>
    <row r="107" spans="1:6">
      <c r="A107" s="16" t="s">
        <v>32</v>
      </c>
      <c r="B107" s="144"/>
      <c r="C107" s="145"/>
      <c r="D107" s="13">
        <f t="shared" si="2"/>
        <v>776720</v>
      </c>
      <c r="E107" s="38">
        <v>775671</v>
      </c>
      <c r="F107" s="13">
        <v>1049</v>
      </c>
    </row>
    <row r="108" spans="1:6">
      <c r="A108" s="16" t="s">
        <v>33</v>
      </c>
      <c r="B108" s="144"/>
      <c r="C108" s="145"/>
      <c r="D108" s="13">
        <f t="shared" si="2"/>
        <v>897000</v>
      </c>
      <c r="E108" s="38">
        <f>897000-1211</f>
        <v>895789</v>
      </c>
      <c r="F108" s="13">
        <v>1211</v>
      </c>
    </row>
    <row r="109" spans="1:6">
      <c r="A109" s="16" t="s">
        <v>34</v>
      </c>
      <c r="B109" s="144"/>
      <c r="C109" s="145"/>
      <c r="D109" s="13">
        <f t="shared" si="2"/>
        <v>541800</v>
      </c>
      <c r="E109" s="38">
        <v>541069</v>
      </c>
      <c r="F109" s="13">
        <v>731</v>
      </c>
    </row>
    <row r="110" spans="1:6">
      <c r="A110" s="124" t="s">
        <v>29</v>
      </c>
      <c r="B110" s="124"/>
      <c r="C110" s="125"/>
      <c r="D110" s="13">
        <f>SUM(D103:D109)</f>
        <v>6462395.7000000002</v>
      </c>
      <c r="E110" s="30">
        <f t="shared" ref="E110:F110" si="3">SUM(E103:E109)</f>
        <v>6453671.7000000002</v>
      </c>
      <c r="F110" s="13">
        <f t="shared" si="3"/>
        <v>8724</v>
      </c>
    </row>
    <row r="111" spans="1:6">
      <c r="A111" s="141" t="s">
        <v>35</v>
      </c>
      <c r="B111" s="141"/>
      <c r="C111" s="142"/>
      <c r="D111" s="13">
        <f>D110+D102</f>
        <v>50922641.289999999</v>
      </c>
      <c r="E111" s="30">
        <f>E110+E102</f>
        <v>6453671.7000000002</v>
      </c>
      <c r="F111" s="13">
        <f>F110+F102</f>
        <v>44468969.589999996</v>
      </c>
    </row>
    <row r="114" spans="6:6">
      <c r="F114" s="20"/>
    </row>
  </sheetData>
  <autoFilter ref="A14:F111"/>
  <mergeCells count="110">
    <mergeCell ref="F40:F41"/>
    <mergeCell ref="D40:D41"/>
    <mergeCell ref="E40:E41"/>
    <mergeCell ref="D19:D20"/>
    <mergeCell ref="F19:F20"/>
    <mergeCell ref="E19:E20"/>
    <mergeCell ref="A29:A30"/>
    <mergeCell ref="F29:F30"/>
    <mergeCell ref="D29:D30"/>
    <mergeCell ref="E29:E30"/>
    <mergeCell ref="E33:E34"/>
    <mergeCell ref="A40:A41"/>
    <mergeCell ref="E31:E32"/>
    <mergeCell ref="F31:F32"/>
    <mergeCell ref="A10:F10"/>
    <mergeCell ref="A74:A78"/>
    <mergeCell ref="A93:A94"/>
    <mergeCell ref="A31:A32"/>
    <mergeCell ref="F71:F73"/>
    <mergeCell ref="D71:D73"/>
    <mergeCell ref="E71:E73"/>
    <mergeCell ref="F83:F86"/>
    <mergeCell ref="D83:D86"/>
    <mergeCell ref="E83:E86"/>
    <mergeCell ref="F88:F92"/>
    <mergeCell ref="D88:D92"/>
    <mergeCell ref="E88:E92"/>
    <mergeCell ref="F74:F78"/>
    <mergeCell ref="D74:D78"/>
    <mergeCell ref="E74:E78"/>
    <mergeCell ref="A42:A43"/>
    <mergeCell ref="D79:D81"/>
    <mergeCell ref="E22:E24"/>
    <mergeCell ref="F53:F54"/>
    <mergeCell ref="D53:D54"/>
    <mergeCell ref="E53:E54"/>
    <mergeCell ref="F33:F34"/>
    <mergeCell ref="D33:D34"/>
    <mergeCell ref="A111:C111"/>
    <mergeCell ref="A102:C102"/>
    <mergeCell ref="B103:B109"/>
    <mergeCell ref="C103:C109"/>
    <mergeCell ref="A110:C110"/>
    <mergeCell ref="D11:F11"/>
    <mergeCell ref="A13:A14"/>
    <mergeCell ref="B13:B14"/>
    <mergeCell ref="C13:C14"/>
    <mergeCell ref="D13:D14"/>
    <mergeCell ref="E13:F13"/>
    <mergeCell ref="A47:A48"/>
    <mergeCell ref="F98:F99"/>
    <mergeCell ref="E98:E99"/>
    <mergeCell ref="A88:A92"/>
    <mergeCell ref="D98:D99"/>
    <mergeCell ref="A98:A99"/>
    <mergeCell ref="A83:A86"/>
    <mergeCell ref="A71:A73"/>
    <mergeCell ref="A33:A34"/>
    <mergeCell ref="A53:A54"/>
    <mergeCell ref="A64:A66"/>
    <mergeCell ref="A79:A81"/>
    <mergeCell ref="A19:A20"/>
    <mergeCell ref="A95:A96"/>
    <mergeCell ref="D62:D63"/>
    <mergeCell ref="F95:F96"/>
    <mergeCell ref="E95:E96"/>
    <mergeCell ref="D95:D96"/>
    <mergeCell ref="F93:F94"/>
    <mergeCell ref="D93:D94"/>
    <mergeCell ref="E93:E94"/>
    <mergeCell ref="F79:F81"/>
    <mergeCell ref="F64:F66"/>
    <mergeCell ref="D64:D66"/>
    <mergeCell ref="E64:E66"/>
    <mergeCell ref="E79:E81"/>
    <mergeCell ref="A62:A63"/>
    <mergeCell ref="A50:A51"/>
    <mergeCell ref="F50:F51"/>
    <mergeCell ref="D50:D51"/>
    <mergeCell ref="E50:E51"/>
    <mergeCell ref="D47:D48"/>
    <mergeCell ref="F47:F48"/>
    <mergeCell ref="E47:E48"/>
    <mergeCell ref="F42:F43"/>
    <mergeCell ref="D42:D43"/>
    <mergeCell ref="E42:E43"/>
    <mergeCell ref="D2:F9"/>
    <mergeCell ref="A15:A17"/>
    <mergeCell ref="D15:D17"/>
    <mergeCell ref="E15:E17"/>
    <mergeCell ref="F15:F17"/>
    <mergeCell ref="C15:C101"/>
    <mergeCell ref="A44:A45"/>
    <mergeCell ref="F44:F45"/>
    <mergeCell ref="E44:E45"/>
    <mergeCell ref="D44:D45"/>
    <mergeCell ref="A22:A24"/>
    <mergeCell ref="A25:A28"/>
    <mergeCell ref="F25:F28"/>
    <mergeCell ref="E25:E28"/>
    <mergeCell ref="D25:D28"/>
    <mergeCell ref="F22:F24"/>
    <mergeCell ref="D22:D24"/>
    <mergeCell ref="F59:F60"/>
    <mergeCell ref="D59:D60"/>
    <mergeCell ref="E59:E60"/>
    <mergeCell ref="A59:A60"/>
    <mergeCell ref="F62:F63"/>
    <mergeCell ref="E62:E63"/>
    <mergeCell ref="D31:D32"/>
  </mergeCells>
  <pageMargins left="0.31496062992125984" right="0.31496062992125984" top="0.19685039370078741" bottom="0.19685039370078741" header="0" footer="0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  </vt:lpstr>
      <vt:lpstr>Приложение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gtihaa</cp:lastModifiedBy>
  <cp:lastPrinted>2024-12-20T08:41:43Z</cp:lastPrinted>
  <dcterms:created xsi:type="dcterms:W3CDTF">2023-08-10T19:03:18Z</dcterms:created>
  <dcterms:modified xsi:type="dcterms:W3CDTF">2024-12-25T03:41:58Z</dcterms:modified>
</cp:coreProperties>
</file>